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700" yWindow="0" windowWidth="13500" windowHeight="12510" tabRatio="934"/>
  </bookViews>
  <sheets>
    <sheet name="Couverture" sheetId="104" r:id="rId1"/>
    <sheet name="page 1 AVANT PROPOS " sheetId="48" r:id="rId2"/>
    <sheet name="page 2 SOMMAIRE" sheetId="47" r:id="rId3"/>
    <sheet name="page 3 SOMMAIRE" sheetId="52" r:id="rId4"/>
    <sheet name="page 4 blanche" sheetId="53" r:id="rId5"/>
    <sheet name="page 5 Démo" sheetId="98" r:id="rId6"/>
    <sheet name="page 6 Démo" sheetId="54" r:id="rId7"/>
    <sheet name="page 7 Démo" sheetId="55" r:id="rId8"/>
    <sheet name="page 8 Démo" sheetId="57" r:id="rId9"/>
    <sheet name="page 9 Ville" sheetId="59" r:id="rId10"/>
    <sheet name="page 10 Pauvreté" sheetId="103" r:id="rId11"/>
    <sheet name="page 11 Pauvreté " sheetId="62" r:id="rId12"/>
    <sheet name="page 12 Pauvreté" sheetId="119" r:id="rId13"/>
    <sheet name="page 13 Pauvreté" sheetId="61" r:id="rId14"/>
    <sheet name="page 14 Pauvreté" sheetId="63" r:id="rId15"/>
    <sheet name="page 15 Pauvreté" sheetId="64" r:id="rId16"/>
    <sheet name="page 16 Pauvreté " sheetId="65" r:id="rId17"/>
    <sheet name="page 17 Pauvreté" sheetId="66" r:id="rId18"/>
    <sheet name="page 18 pauvreté" sheetId="105" r:id="rId19"/>
    <sheet name="page 19 Pauvreté" sheetId="68" r:id="rId20"/>
    <sheet name="page 20 Pauvreté" sheetId="69" r:id="rId21"/>
    <sheet name="page 21 Handicap" sheetId="79" r:id="rId22"/>
    <sheet name="page 22 Handicap " sheetId="80" r:id="rId23"/>
    <sheet name="page 23 Handicap " sheetId="81" r:id="rId24"/>
    <sheet name="page 24 Logement" sheetId="42" r:id="rId25"/>
    <sheet name="page 25 Logement" sheetId="72" r:id="rId26"/>
    <sheet name="page 26 Logement" sheetId="70" r:id="rId27"/>
    <sheet name="page 27 - Logement" sheetId="108" r:id="rId28"/>
    <sheet name="page 28 Logement" sheetId="73" r:id="rId29"/>
    <sheet name="page 29 Jeunesse" sheetId="37" r:id="rId30"/>
    <sheet name="page 30 Jeunesse" sheetId="74" r:id="rId31"/>
    <sheet name="page 31 Jeunesse" sheetId="78" r:id="rId32"/>
    <sheet name="page 32 Jeunesse" sheetId="75" r:id="rId33"/>
    <sheet name="page 33 Jeunesse" sheetId="76" r:id="rId34"/>
    <sheet name="page 34 Jeunesse" sheetId="110" r:id="rId35"/>
    <sheet name="page 35 Enfance" sheetId="77" r:id="rId36"/>
    <sheet name="page 36 Enfance" sheetId="112" r:id="rId37"/>
    <sheet name="page 37 Enfance" sheetId="82" r:id="rId38"/>
    <sheet name="page 38 Enfance" sheetId="83" r:id="rId39"/>
    <sheet name="page 39 Immigration" sheetId="86" r:id="rId40"/>
    <sheet name="page 40 Immigration " sheetId="114" r:id="rId41"/>
    <sheet name="page 41 Immigration" sheetId="115" r:id="rId42"/>
    <sheet name="page 42 Immigration" sheetId="116" r:id="rId43"/>
    <sheet name="page 43 Immigration" sheetId="117" r:id="rId44"/>
    <sheet name="page 44 Sport" sheetId="44" r:id="rId45"/>
    <sheet name="page 45 sport" sheetId="88" r:id="rId46"/>
    <sheet name="page 46 Sport " sheetId="109" r:id="rId47"/>
    <sheet name="page 47 Sport" sheetId="89" r:id="rId48"/>
    <sheet name="page 48 Diplômes" sheetId="91" r:id="rId49"/>
    <sheet name="page 49 Diplômes" sheetId="43" r:id="rId50"/>
    <sheet name="page 50 Diplômes" sheetId="90" r:id="rId51"/>
    <sheet name="page 51 Assoc" sheetId="97" r:id="rId52"/>
    <sheet name="page 52 Assoc" sheetId="93" r:id="rId53"/>
    <sheet name="page 53 Assoc" sheetId="107" r:id="rId54"/>
    <sheet name="page 54 Assoc" sheetId="95" r:id="rId55"/>
    <sheet name="page 55 Assoc" sheetId="96" r:id="rId56"/>
    <sheet name="page 56 Assoc" sheetId="92" r:id="rId57"/>
    <sheet name="page 57 POUR EN SAVOIR +" sheetId="99" r:id="rId58"/>
    <sheet name="page 58 GLOSSAIRE 1" sheetId="100" r:id="rId59"/>
    <sheet name="page 59 GLOSSAIRE 2" sheetId="101" r:id="rId60"/>
    <sheet name="page 60 ADRESSES UTILES" sheetId="102" r:id="rId61"/>
    <sheet name="4ème de COUVERTURE" sheetId="50" r:id="rId62"/>
  </sheets>
  <definedNames>
    <definedName name="_xlnm._FilterDatabase" localSheetId="11" hidden="1">'page 11 Pauvreté '!$A$3:$L$3</definedName>
    <definedName name="_xlnm._FilterDatabase" localSheetId="12" hidden="1">'page 12 Pauvreté'!$A$4:$L$4</definedName>
    <definedName name="N100BE" localSheetId="11">'page 11 Pauvreté '!#REF!</definedName>
    <definedName name="N100BE" localSheetId="12">'page 12 Pauvreté'!#REF!</definedName>
    <definedName name="N100BE" localSheetId="17">'page 17 Pauvreté'!#REF!</definedName>
    <definedName name="N100BE" localSheetId="18">'page 18 pauvreté'!#REF!</definedName>
    <definedName name="N100BE" localSheetId="19">'page 19 Pauvreté'!#REF!</definedName>
    <definedName name="N100BE" localSheetId="20">'page 20 Pauvreté'!#REF!</definedName>
    <definedName name="N100BE" localSheetId="21">'page 21 Handicap'!#REF!</definedName>
    <definedName name="N100BE" localSheetId="22">'page 22 Handicap '!#REF!</definedName>
    <definedName name="N100BE" localSheetId="23">'page 23 Handicap '!#REF!</definedName>
    <definedName name="N100BE" localSheetId="38">'page 38 Enfance'!#REF!</definedName>
    <definedName name="_xlnm.Print_Area" localSheetId="19">'page 19 Pauvreté'!$A$1:$H$32</definedName>
    <definedName name="_xlnm.Print_Area" localSheetId="2">'page 2 SOMMAIRE'!$A$1:$E$22</definedName>
    <definedName name="_xlnm.Print_Area" localSheetId="22">'page 22 Handicap '!$A$1:$H$25</definedName>
    <definedName name="_xlnm.Print_Area" localSheetId="28">'page 28 Logement'!$A$1:$K$33</definedName>
    <definedName name="_xlnm.Print_Area" localSheetId="30">'page 30 Jeunesse'!$A$1:$H$22</definedName>
    <definedName name="_xlnm.Print_Area" localSheetId="34">'page 34 Jeunesse'!$A$1:$H$38</definedName>
    <definedName name="_xlnm.Print_Area" localSheetId="36">'page 36 Enfance'!$A$1:$I$29</definedName>
    <definedName name="_xlnm.Print_Area" localSheetId="37">'page 37 Enfance'!$A$1:$H$37</definedName>
    <definedName name="_xlnm.Print_Area" localSheetId="48">'page 48 Diplômes'!$A$1:$D$33</definedName>
    <definedName name="_xlnm.Print_Area" localSheetId="50">'page 50 Diplômes'!$A$1:$G$31</definedName>
    <definedName name="_xlnm.Print_Area" localSheetId="51">'page 51 Assoc'!$A$1:$H$26</definedName>
  </definedNames>
  <calcPr calcId="145621"/>
</workbook>
</file>

<file path=xl/calcChain.xml><?xml version="1.0" encoding="utf-8"?>
<calcChain xmlns="http://schemas.openxmlformats.org/spreadsheetml/2006/main">
  <c r="H29" i="95" l="1"/>
  <c r="G29" i="95"/>
  <c r="C20" i="54" l="1"/>
  <c r="D20" i="54"/>
  <c r="E20" i="54"/>
  <c r="F20" i="54"/>
  <c r="G20" i="54"/>
  <c r="H20" i="54"/>
  <c r="C31" i="82" l="1"/>
  <c r="D31" i="82"/>
  <c r="E31" i="82"/>
  <c r="F31" i="82"/>
  <c r="G31" i="82"/>
  <c r="B31" i="82"/>
  <c r="C9" i="82" l="1"/>
  <c r="D9" i="82"/>
  <c r="E9" i="82"/>
  <c r="F9" i="82"/>
  <c r="G9" i="82"/>
  <c r="H9" i="82"/>
  <c r="B9" i="82"/>
  <c r="G7" i="82"/>
  <c r="G15" i="59" l="1"/>
  <c r="G14" i="59"/>
  <c r="F22" i="107" l="1"/>
  <c r="E22" i="107"/>
  <c r="D22" i="107"/>
  <c r="C22" i="107"/>
  <c r="B22" i="107"/>
  <c r="C22" i="112" l="1"/>
  <c r="D22" i="112"/>
  <c r="E22" i="112"/>
  <c r="F22" i="112"/>
  <c r="H22" i="112"/>
  <c r="B22" i="112"/>
  <c r="G39" i="112"/>
  <c r="G21" i="112"/>
  <c r="C18" i="112"/>
  <c r="D18" i="112"/>
  <c r="E18" i="112"/>
  <c r="F18" i="112"/>
  <c r="H18" i="112"/>
  <c r="B18" i="112"/>
  <c r="G38" i="112"/>
  <c r="G18" i="112" s="1"/>
  <c r="G17" i="112"/>
  <c r="H14" i="112"/>
  <c r="C14" i="112"/>
  <c r="D14" i="112"/>
  <c r="E14" i="112"/>
  <c r="F14" i="112"/>
  <c r="B14" i="112"/>
  <c r="G37" i="112"/>
  <c r="C9" i="112"/>
  <c r="D9" i="112"/>
  <c r="E9" i="112"/>
  <c r="F9" i="112"/>
  <c r="H9" i="112"/>
  <c r="B9" i="112"/>
  <c r="G6" i="112"/>
  <c r="G7" i="112"/>
  <c r="G9" i="112" l="1"/>
  <c r="B10" i="112"/>
  <c r="D10" i="112"/>
  <c r="F10" i="112"/>
  <c r="C10" i="112"/>
  <c r="E10" i="112"/>
  <c r="G10" i="112"/>
  <c r="G22" i="112"/>
  <c r="G7" i="88"/>
  <c r="B6" i="88"/>
  <c r="G12" i="88"/>
  <c r="G10" i="88"/>
  <c r="G9" i="88"/>
  <c r="G8" i="88"/>
  <c r="B16" i="88"/>
  <c r="C6" i="88"/>
  <c r="C16" i="88" s="1"/>
  <c r="D6" i="88"/>
  <c r="D16" i="88" s="1"/>
  <c r="E6" i="88"/>
  <c r="E16" i="88" s="1"/>
  <c r="F6" i="88"/>
  <c r="F16" i="88" s="1"/>
  <c r="H6" i="88"/>
  <c r="H16" i="88" s="1"/>
  <c r="G6" i="88" l="1"/>
  <c r="G16" i="88" s="1"/>
  <c r="G21" i="88"/>
  <c r="G22" i="88"/>
  <c r="G23" i="88"/>
  <c r="G20" i="88"/>
  <c r="B11" i="44" l="1"/>
  <c r="B6" i="44"/>
  <c r="G6" i="44"/>
  <c r="H6" i="44"/>
  <c r="B21" i="44" l="1"/>
  <c r="H20" i="110" l="1"/>
  <c r="C20" i="110"/>
  <c r="D20" i="110"/>
  <c r="E20" i="110"/>
  <c r="F20" i="110"/>
  <c r="B20" i="110"/>
  <c r="G20" i="110"/>
  <c r="H19" i="79" l="1"/>
  <c r="H18" i="79"/>
  <c r="B11" i="79"/>
  <c r="G6" i="79" l="1"/>
  <c r="G18" i="79"/>
  <c r="G19" i="79"/>
  <c r="H6" i="79"/>
  <c r="B6" i="79"/>
  <c r="C6" i="79"/>
  <c r="D6" i="79"/>
  <c r="E6" i="79"/>
  <c r="F6" i="79"/>
  <c r="G10" i="79"/>
  <c r="G9" i="79"/>
  <c r="B15" i="105" l="1"/>
  <c r="H25" i="44" l="1"/>
  <c r="H13" i="83"/>
  <c r="B13" i="83"/>
  <c r="B21" i="76"/>
  <c r="G10" i="93" l="1"/>
  <c r="G11" i="93"/>
  <c r="G13" i="93"/>
  <c r="G14" i="93"/>
  <c r="G15" i="93"/>
  <c r="G16" i="93"/>
  <c r="G17" i="93"/>
  <c r="G18" i="93"/>
  <c r="G19" i="93"/>
  <c r="G20" i="93"/>
  <c r="G9" i="93"/>
  <c r="G6" i="107"/>
  <c r="G11" i="107" l="1"/>
  <c r="G13" i="107"/>
  <c r="G14" i="107"/>
  <c r="G15" i="107"/>
  <c r="G16" i="107"/>
  <c r="G17" i="107"/>
  <c r="H19" i="73" l="1"/>
  <c r="H18" i="73"/>
  <c r="H17" i="73"/>
  <c r="H12" i="73"/>
  <c r="H11" i="73"/>
  <c r="H10" i="73"/>
  <c r="B27" i="42" l="1"/>
  <c r="B17" i="80"/>
  <c r="H17" i="80"/>
  <c r="F17" i="80"/>
  <c r="E17" i="80"/>
  <c r="D17" i="80"/>
  <c r="C17" i="80"/>
  <c r="G16" i="80"/>
  <c r="G17" i="80" s="1"/>
  <c r="B11" i="80"/>
  <c r="D15" i="66" l="1"/>
  <c r="D12" i="66"/>
  <c r="D9" i="66"/>
  <c r="D6" i="66" s="1"/>
  <c r="G10" i="66"/>
  <c r="G11" i="66"/>
  <c r="H22" i="63" l="1"/>
  <c r="F22" i="63"/>
  <c r="E22" i="63"/>
  <c r="D22" i="63"/>
  <c r="C22" i="63"/>
  <c r="B22" i="63"/>
  <c r="B24" i="63" s="1"/>
  <c r="G9" i="59" l="1"/>
  <c r="G7" i="59" l="1"/>
  <c r="B9" i="54" l="1"/>
  <c r="C9" i="54"/>
  <c r="D9" i="54"/>
  <c r="E9" i="54"/>
  <c r="F9" i="54"/>
  <c r="H9" i="54"/>
  <c r="C6" i="44" l="1"/>
  <c r="D6" i="44"/>
  <c r="E6" i="44"/>
  <c r="F6" i="44"/>
  <c r="B7" i="74"/>
  <c r="C7" i="74"/>
  <c r="D7" i="74"/>
  <c r="E7" i="74"/>
  <c r="F7" i="74"/>
  <c r="G8" i="59"/>
  <c r="G15" i="62"/>
  <c r="H6" i="119" l="1"/>
  <c r="C6" i="119"/>
  <c r="D6" i="119"/>
  <c r="E6" i="119"/>
  <c r="F6" i="119"/>
  <c r="B6" i="119"/>
  <c r="G8" i="119"/>
  <c r="G7" i="119"/>
  <c r="G27" i="81"/>
  <c r="G6" i="119" l="1"/>
  <c r="B14" i="81"/>
  <c r="F20" i="89" l="1"/>
  <c r="H20" i="89"/>
  <c r="G25" i="44"/>
  <c r="G6" i="114"/>
  <c r="G25" i="74" l="1"/>
  <c r="G24" i="74"/>
  <c r="C7" i="43" l="1"/>
  <c r="C11" i="79" l="1"/>
  <c r="D11" i="79"/>
  <c r="E11" i="79"/>
  <c r="F11" i="79"/>
  <c r="H11" i="79"/>
  <c r="H16" i="65" l="1"/>
  <c r="G23" i="65"/>
  <c r="G22" i="65"/>
  <c r="G21" i="65"/>
  <c r="G20" i="65"/>
  <c r="G19" i="65"/>
  <c r="G18" i="65"/>
  <c r="G17" i="65"/>
  <c r="G16" i="65" s="1"/>
  <c r="F16" i="65"/>
  <c r="E16" i="65"/>
  <c r="D16" i="65"/>
  <c r="C16" i="65"/>
  <c r="B16" i="65"/>
  <c r="G14" i="65"/>
  <c r="G13" i="65"/>
  <c r="G12" i="65"/>
  <c r="G11" i="65"/>
  <c r="G10" i="65"/>
  <c r="G9" i="65"/>
  <c r="G8" i="65"/>
  <c r="G7" i="65"/>
  <c r="H6" i="65"/>
  <c r="F6" i="65"/>
  <c r="E6" i="65"/>
  <c r="D6" i="65"/>
  <c r="C6" i="65"/>
  <c r="B6" i="65"/>
  <c r="G6" i="65" l="1"/>
  <c r="B20" i="54"/>
  <c r="B8" i="98"/>
  <c r="H8" i="98" l="1"/>
  <c r="D8" i="98"/>
  <c r="E8" i="98"/>
  <c r="F8" i="98"/>
  <c r="C8" i="98"/>
  <c r="G6" i="98"/>
  <c r="E7" i="43" l="1"/>
  <c r="D7" i="43"/>
  <c r="C6" i="91" l="1"/>
  <c r="D6" i="91"/>
  <c r="G16" i="81"/>
  <c r="G15" i="81"/>
  <c r="G18" i="69" l="1"/>
  <c r="G20" i="107"/>
  <c r="G11" i="109"/>
  <c r="G6" i="109"/>
  <c r="G14" i="69"/>
  <c r="G15" i="69"/>
  <c r="G13" i="69"/>
  <c r="C15" i="117"/>
  <c r="D15" i="117"/>
  <c r="E15" i="117"/>
  <c r="F15" i="117"/>
  <c r="C16" i="117"/>
  <c r="D16" i="117"/>
  <c r="E16" i="117"/>
  <c r="F16" i="117"/>
  <c r="B16" i="117"/>
  <c r="B15" i="117"/>
  <c r="G7" i="117"/>
  <c r="G8" i="117"/>
  <c r="G11" i="117"/>
  <c r="G12" i="117"/>
  <c r="G14" i="114"/>
  <c r="C14" i="114"/>
  <c r="D14" i="114"/>
  <c r="E14" i="114"/>
  <c r="F14" i="114"/>
  <c r="C6" i="114"/>
  <c r="D6" i="114"/>
  <c r="E6" i="114"/>
  <c r="F6" i="114"/>
  <c r="G23" i="110"/>
  <c r="G22" i="110"/>
  <c r="G21" i="110"/>
  <c r="G9" i="110"/>
  <c r="G8" i="110"/>
  <c r="E20" i="89"/>
  <c r="D20" i="89"/>
  <c r="C20" i="89"/>
  <c r="B20" i="89"/>
  <c r="G22" i="107"/>
  <c r="C14" i="83"/>
  <c r="D14" i="83"/>
  <c r="E14" i="83"/>
  <c r="F14" i="83"/>
  <c r="H14" i="83"/>
  <c r="B14" i="83"/>
  <c r="G13" i="112"/>
  <c r="G14" i="112" s="1"/>
  <c r="G8" i="112"/>
  <c r="G12" i="110"/>
  <c r="G18" i="76"/>
  <c r="C21" i="76"/>
  <c r="D21" i="76"/>
  <c r="E21" i="76"/>
  <c r="F21" i="76"/>
  <c r="H21" i="76"/>
  <c r="C17" i="76"/>
  <c r="D17" i="76"/>
  <c r="E17" i="76"/>
  <c r="F17" i="76"/>
  <c r="H17" i="76"/>
  <c r="C13" i="76"/>
  <c r="D13" i="76"/>
  <c r="E13" i="76"/>
  <c r="F13" i="76"/>
  <c r="H13" i="76"/>
  <c r="B17" i="76"/>
  <c r="B13" i="76"/>
  <c r="C9" i="76"/>
  <c r="D9" i="76"/>
  <c r="E9" i="76"/>
  <c r="F9" i="76"/>
  <c r="H9" i="76"/>
  <c r="B9" i="76"/>
  <c r="H9" i="73"/>
  <c r="G19" i="108"/>
  <c r="G18" i="108"/>
  <c r="G17" i="108"/>
  <c r="G14" i="108"/>
  <c r="G7" i="108"/>
  <c r="G8" i="108"/>
  <c r="G9" i="108"/>
  <c r="G10" i="108"/>
  <c r="G11" i="108"/>
  <c r="G12" i="108"/>
  <c r="G6" i="108"/>
  <c r="C11" i="70"/>
  <c r="C14" i="70" s="1"/>
  <c r="D11" i="70"/>
  <c r="D14" i="70" s="1"/>
  <c r="E11" i="70"/>
  <c r="E14" i="70" s="1"/>
  <c r="F11" i="70"/>
  <c r="F14" i="70" s="1"/>
  <c r="B11" i="70"/>
  <c r="B14" i="70" s="1"/>
  <c r="C6" i="70"/>
  <c r="C9" i="70" s="1"/>
  <c r="D6" i="70"/>
  <c r="D9" i="70" s="1"/>
  <c r="E6" i="70"/>
  <c r="E9" i="70" s="1"/>
  <c r="F6" i="70"/>
  <c r="F9" i="70" s="1"/>
  <c r="B6" i="70"/>
  <c r="B9" i="70" s="1"/>
  <c r="C11" i="80"/>
  <c r="D11" i="80"/>
  <c r="E11" i="80"/>
  <c r="F11" i="80"/>
  <c r="H11" i="80"/>
  <c r="G15" i="79"/>
  <c r="G14" i="79"/>
  <c r="G8" i="79"/>
  <c r="G7" i="79"/>
  <c r="C9" i="74"/>
  <c r="D9" i="74"/>
  <c r="E9" i="74"/>
  <c r="F9" i="74"/>
  <c r="G9" i="74"/>
  <c r="H9" i="74"/>
  <c r="B9" i="74"/>
  <c r="B11" i="74" s="1"/>
  <c r="G7" i="74"/>
  <c r="H7" i="74"/>
  <c r="C16" i="73"/>
  <c r="D16" i="73"/>
  <c r="E16" i="73"/>
  <c r="F16" i="73"/>
  <c r="H16" i="73"/>
  <c r="H21" i="73" s="1"/>
  <c r="G18" i="73"/>
  <c r="G19" i="73"/>
  <c r="G17" i="73"/>
  <c r="B16" i="73"/>
  <c r="C14" i="72"/>
  <c r="D14" i="72"/>
  <c r="E14" i="72"/>
  <c r="F14" i="72"/>
  <c r="H14" i="72"/>
  <c r="B14" i="72"/>
  <c r="H6" i="72"/>
  <c r="H12" i="72" s="1"/>
  <c r="B20" i="66"/>
  <c r="C6" i="72"/>
  <c r="D6" i="72"/>
  <c r="E6" i="72"/>
  <c r="F6" i="72"/>
  <c r="F12" i="72" s="1"/>
  <c r="B6" i="72"/>
  <c r="B12" i="72" s="1"/>
  <c r="B7" i="105"/>
  <c r="G17" i="66"/>
  <c r="G16" i="66"/>
  <c r="G14" i="66"/>
  <c r="G13" i="66"/>
  <c r="B26" i="57"/>
  <c r="G7" i="98"/>
  <c r="G14" i="98"/>
  <c r="G15" i="98"/>
  <c r="G8" i="98" s="1"/>
  <c r="G19" i="98"/>
  <c r="G9" i="54" s="1"/>
  <c r="G20" i="98"/>
  <c r="G16" i="98"/>
  <c r="G22" i="98"/>
  <c r="F11" i="44"/>
  <c r="F21" i="44" s="1"/>
  <c r="E11" i="44"/>
  <c r="E21" i="44" s="1"/>
  <c r="D11" i="44"/>
  <c r="D21" i="44" s="1"/>
  <c r="C11" i="44"/>
  <c r="C21" i="44" s="1"/>
  <c r="B11" i="105"/>
  <c r="B9" i="66"/>
  <c r="H24" i="63"/>
  <c r="B6" i="63"/>
  <c r="C20" i="66"/>
  <c r="D20" i="66"/>
  <c r="E20" i="66"/>
  <c r="F20" i="66"/>
  <c r="H20" i="66"/>
  <c r="C7" i="90"/>
  <c r="D7" i="90"/>
  <c r="E7" i="90"/>
  <c r="D21" i="91"/>
  <c r="C21" i="91"/>
  <c r="D17" i="91"/>
  <c r="C17" i="91"/>
  <c r="H10" i="97"/>
  <c r="C6" i="97"/>
  <c r="C10" i="97" s="1"/>
  <c r="B27" i="109"/>
  <c r="G7" i="110"/>
  <c r="G25" i="73"/>
  <c r="G26" i="73"/>
  <c r="G27" i="73"/>
  <c r="G24" i="73"/>
  <c r="B19" i="88"/>
  <c r="B18" i="70"/>
  <c r="B6" i="97"/>
  <c r="B10" i="97" s="1"/>
  <c r="B17" i="70"/>
  <c r="B20" i="69"/>
  <c r="G7" i="90"/>
  <c r="F7" i="90"/>
  <c r="G14" i="109"/>
  <c r="G15" i="109"/>
  <c r="G16" i="109"/>
  <c r="G17" i="109"/>
  <c r="G18" i="109"/>
  <c r="G19" i="109"/>
  <c r="G20" i="109"/>
  <c r="G21" i="109"/>
  <c r="G22" i="109"/>
  <c r="G23" i="109"/>
  <c r="G24" i="109"/>
  <c r="G25" i="109"/>
  <c r="G12" i="109"/>
  <c r="G8" i="109"/>
  <c r="G9" i="109"/>
  <c r="G7" i="109"/>
  <c r="G27" i="109"/>
  <c r="D6" i="97"/>
  <c r="D10" i="97" s="1"/>
  <c r="E6" i="97"/>
  <c r="F6" i="97"/>
  <c r="E10" i="97"/>
  <c r="F10" i="97"/>
  <c r="G13" i="97"/>
  <c r="G14" i="97"/>
  <c r="G15" i="97"/>
  <c r="G16" i="97"/>
  <c r="G17" i="97"/>
  <c r="G18" i="97"/>
  <c r="G19" i="97"/>
  <c r="G20" i="97"/>
  <c r="G21" i="97"/>
  <c r="B12" i="89"/>
  <c r="C12" i="89"/>
  <c r="D12" i="89"/>
  <c r="E12" i="89"/>
  <c r="F12" i="89"/>
  <c r="H12" i="89"/>
  <c r="G13" i="109"/>
  <c r="C27" i="109"/>
  <c r="D27" i="109"/>
  <c r="E27" i="109"/>
  <c r="F27" i="109"/>
  <c r="H27" i="109"/>
  <c r="C19" i="88"/>
  <c r="D19" i="88"/>
  <c r="E19" i="88"/>
  <c r="F19" i="88"/>
  <c r="H19" i="88"/>
  <c r="H11" i="44"/>
  <c r="H21" i="44" s="1"/>
  <c r="G12" i="83"/>
  <c r="G13" i="83"/>
  <c r="G13" i="76"/>
  <c r="G14" i="76"/>
  <c r="G16" i="75"/>
  <c r="G7" i="37"/>
  <c r="G8" i="37"/>
  <c r="G9" i="37"/>
  <c r="G11" i="37"/>
  <c r="G12" i="37"/>
  <c r="G13" i="37"/>
  <c r="B15" i="37"/>
  <c r="C15" i="37"/>
  <c r="D15" i="37"/>
  <c r="E15" i="37"/>
  <c r="F15" i="37"/>
  <c r="H15" i="37"/>
  <c r="B16" i="37"/>
  <c r="C16" i="37"/>
  <c r="D16" i="37"/>
  <c r="E16" i="37"/>
  <c r="F16" i="37"/>
  <c r="H16" i="37"/>
  <c r="B17" i="37"/>
  <c r="B19" i="37" s="1"/>
  <c r="C17" i="37"/>
  <c r="C19" i="37" s="1"/>
  <c r="D17" i="37"/>
  <c r="D19" i="37" s="1"/>
  <c r="E17" i="37"/>
  <c r="F17" i="37"/>
  <c r="F19" i="37" s="1"/>
  <c r="H17" i="37"/>
  <c r="H19" i="37" s="1"/>
  <c r="E19" i="37"/>
  <c r="G6" i="73"/>
  <c r="G7" i="73"/>
  <c r="B9" i="73"/>
  <c r="B21" i="73" s="1"/>
  <c r="C9" i="73"/>
  <c r="D9" i="73"/>
  <c r="E9" i="73"/>
  <c r="E21" i="73" s="1"/>
  <c r="F9" i="73"/>
  <c r="G10" i="73"/>
  <c r="G11" i="73"/>
  <c r="G12" i="73"/>
  <c r="D21" i="73"/>
  <c r="E16" i="70"/>
  <c r="C17" i="70"/>
  <c r="D17" i="70"/>
  <c r="E17" i="70"/>
  <c r="F17" i="70"/>
  <c r="G17" i="70"/>
  <c r="C18" i="70"/>
  <c r="D18" i="70"/>
  <c r="E18" i="70"/>
  <c r="F18" i="70"/>
  <c r="G7" i="72"/>
  <c r="G8" i="72"/>
  <c r="C12" i="72"/>
  <c r="D12" i="72"/>
  <c r="E12" i="72"/>
  <c r="G15" i="72"/>
  <c r="G16" i="72"/>
  <c r="G19" i="72"/>
  <c r="C27" i="42"/>
  <c r="D27" i="42"/>
  <c r="E27" i="42"/>
  <c r="F27" i="42"/>
  <c r="H27" i="42"/>
  <c r="G8" i="81"/>
  <c r="G10" i="81"/>
  <c r="G11" i="81"/>
  <c r="G12" i="81"/>
  <c r="B17" i="81"/>
  <c r="C14" i="81"/>
  <c r="C17" i="81" s="1"/>
  <c r="D14" i="81"/>
  <c r="D17" i="81" s="1"/>
  <c r="E14" i="81"/>
  <c r="E17" i="81"/>
  <c r="F14" i="81"/>
  <c r="F17" i="81" s="1"/>
  <c r="G14" i="81"/>
  <c r="G17" i="81" s="1"/>
  <c r="G6" i="80"/>
  <c r="G9" i="80"/>
  <c r="G11" i="80" s="1"/>
  <c r="G13" i="80"/>
  <c r="G14" i="80" s="1"/>
  <c r="B14" i="80"/>
  <c r="C14" i="80"/>
  <c r="D14" i="80"/>
  <c r="E14" i="80"/>
  <c r="F14" i="80"/>
  <c r="H14" i="80"/>
  <c r="C20" i="69"/>
  <c r="D20" i="69"/>
  <c r="E20" i="69"/>
  <c r="F20" i="69"/>
  <c r="G6" i="105"/>
  <c r="G7" i="105" s="1"/>
  <c r="C7" i="105"/>
  <c r="D7" i="105"/>
  <c r="E7" i="105"/>
  <c r="F7" i="105"/>
  <c r="H7" i="105"/>
  <c r="G10" i="105"/>
  <c r="G11" i="105" s="1"/>
  <c r="C11" i="105"/>
  <c r="D11" i="105"/>
  <c r="E11" i="105"/>
  <c r="F11" i="105"/>
  <c r="H11" i="105"/>
  <c r="G14" i="105"/>
  <c r="C15" i="105"/>
  <c r="D15" i="105"/>
  <c r="E15" i="105"/>
  <c r="F15" i="105"/>
  <c r="G15" i="105"/>
  <c r="H15" i="105"/>
  <c r="C9" i="66"/>
  <c r="E9" i="66"/>
  <c r="F9" i="66"/>
  <c r="H9" i="66"/>
  <c r="B12" i="66"/>
  <c r="C12" i="66"/>
  <c r="E12" i="66"/>
  <c r="F12" i="66"/>
  <c r="H12" i="66"/>
  <c r="B15" i="66"/>
  <c r="C15" i="66"/>
  <c r="E15" i="66"/>
  <c r="F15" i="66"/>
  <c r="H15" i="66"/>
  <c r="G19" i="66"/>
  <c r="G20" i="66" s="1"/>
  <c r="C6" i="63"/>
  <c r="D6" i="63"/>
  <c r="E6" i="63"/>
  <c r="F6" i="63"/>
  <c r="H6" i="63"/>
  <c r="G7" i="63"/>
  <c r="G8" i="63"/>
  <c r="G9" i="63"/>
  <c r="B10" i="63"/>
  <c r="B14" i="63" s="1"/>
  <c r="B6" i="61" s="1"/>
  <c r="C10" i="63"/>
  <c r="D10" i="63"/>
  <c r="E10" i="63"/>
  <c r="F10" i="63"/>
  <c r="H10" i="63"/>
  <c r="G11" i="63"/>
  <c r="G12" i="63"/>
  <c r="G13" i="63"/>
  <c r="B15" i="63"/>
  <c r="C15" i="63"/>
  <c r="D15" i="63"/>
  <c r="E15" i="63"/>
  <c r="F15" i="63"/>
  <c r="H15" i="63"/>
  <c r="B16" i="63"/>
  <c r="C16" i="63"/>
  <c r="D16" i="63"/>
  <c r="E16" i="63"/>
  <c r="F16" i="63"/>
  <c r="H16" i="63"/>
  <c r="B17" i="63"/>
  <c r="C17" i="63"/>
  <c r="D17" i="63"/>
  <c r="E17" i="63"/>
  <c r="F17" i="63"/>
  <c r="H17" i="63"/>
  <c r="G19" i="63"/>
  <c r="G21" i="63"/>
  <c r="G22" i="63"/>
  <c r="G23" i="63"/>
  <c r="C24" i="63"/>
  <c r="D24" i="63"/>
  <c r="E24" i="63"/>
  <c r="F24" i="63"/>
  <c r="B6" i="57"/>
  <c r="C6" i="57"/>
  <c r="D6" i="57"/>
  <c r="E6" i="57"/>
  <c r="F6" i="57"/>
  <c r="G6" i="57"/>
  <c r="H6" i="57"/>
  <c r="B7" i="57"/>
  <c r="C7" i="57"/>
  <c r="D7" i="57"/>
  <c r="E7" i="57"/>
  <c r="F7" i="57"/>
  <c r="G7" i="57"/>
  <c r="H7" i="57"/>
  <c r="B8" i="57"/>
  <c r="C8" i="57"/>
  <c r="D8" i="57"/>
  <c r="E8" i="57"/>
  <c r="F8" i="57"/>
  <c r="G8" i="57"/>
  <c r="H8" i="57"/>
  <c r="B9" i="57"/>
  <c r="C9" i="57"/>
  <c r="D9" i="57"/>
  <c r="E9" i="57"/>
  <c r="F9" i="57"/>
  <c r="G9" i="57"/>
  <c r="H9" i="57"/>
  <c r="B10" i="57"/>
  <c r="C10" i="57"/>
  <c r="D10" i="57"/>
  <c r="E10" i="57"/>
  <c r="F10" i="57"/>
  <c r="G10" i="57"/>
  <c r="H10" i="57"/>
  <c r="B11" i="57"/>
  <c r="C11" i="57"/>
  <c r="D11" i="57"/>
  <c r="E11" i="57"/>
  <c r="F11" i="57"/>
  <c r="G11" i="57"/>
  <c r="H11" i="57"/>
  <c r="B12" i="57"/>
  <c r="C12" i="57"/>
  <c r="D12" i="57"/>
  <c r="E12" i="57"/>
  <c r="F12" i="57"/>
  <c r="G12" i="57"/>
  <c r="H12" i="57"/>
  <c r="B13" i="57"/>
  <c r="C13" i="57"/>
  <c r="D13" i="57"/>
  <c r="E13" i="57"/>
  <c r="F13" i="57"/>
  <c r="G13" i="57"/>
  <c r="H13" i="57"/>
  <c r="B14" i="57"/>
  <c r="C14" i="57"/>
  <c r="D14" i="57"/>
  <c r="E14" i="57"/>
  <c r="F14" i="57"/>
  <c r="G14" i="57"/>
  <c r="H14" i="57"/>
  <c r="B15" i="57"/>
  <c r="C15" i="57"/>
  <c r="D15" i="57"/>
  <c r="E15" i="57"/>
  <c r="F15" i="57"/>
  <c r="G15" i="57"/>
  <c r="H15" i="57"/>
  <c r="B16" i="57"/>
  <c r="C16" i="57"/>
  <c r="D16" i="57"/>
  <c r="E16" i="57"/>
  <c r="F16" i="57"/>
  <c r="G16" i="57"/>
  <c r="H16" i="57"/>
  <c r="B17" i="57"/>
  <c r="C17" i="57"/>
  <c r="D17" i="57"/>
  <c r="E17" i="57"/>
  <c r="F17" i="57"/>
  <c r="G17" i="57"/>
  <c r="H17" i="57"/>
  <c r="B19" i="57"/>
  <c r="C19" i="57"/>
  <c r="D19" i="57"/>
  <c r="E19" i="57"/>
  <c r="F19" i="57"/>
  <c r="G19" i="57"/>
  <c r="H19" i="57"/>
  <c r="B20" i="57"/>
  <c r="C20" i="57"/>
  <c r="D20" i="57"/>
  <c r="E20" i="57"/>
  <c r="F20" i="57"/>
  <c r="G20" i="57"/>
  <c r="H20" i="57"/>
  <c r="B21" i="57"/>
  <c r="C21" i="57"/>
  <c r="D21" i="57"/>
  <c r="E21" i="57"/>
  <c r="F21" i="57"/>
  <c r="G21" i="57"/>
  <c r="H21" i="57"/>
  <c r="B22" i="57"/>
  <c r="C22" i="57"/>
  <c r="D22" i="57"/>
  <c r="E22" i="57"/>
  <c r="F22" i="57"/>
  <c r="G22" i="57"/>
  <c r="H22" i="57"/>
  <c r="B23" i="57"/>
  <c r="C23" i="57"/>
  <c r="D23" i="57"/>
  <c r="E23" i="57"/>
  <c r="F23" i="57"/>
  <c r="G23" i="57"/>
  <c r="H23" i="57"/>
  <c r="B24" i="57"/>
  <c r="C24" i="57"/>
  <c r="D24" i="57"/>
  <c r="E24" i="57"/>
  <c r="F24" i="57"/>
  <c r="G24" i="57"/>
  <c r="H24" i="57"/>
  <c r="B25" i="57"/>
  <c r="C25" i="57"/>
  <c r="D25" i="57"/>
  <c r="E25" i="57"/>
  <c r="F25" i="57"/>
  <c r="G25" i="57"/>
  <c r="H25" i="57"/>
  <c r="C26" i="57"/>
  <c r="D26" i="57"/>
  <c r="E26" i="57"/>
  <c r="F26" i="57"/>
  <c r="G26" i="57"/>
  <c r="H26" i="57"/>
  <c r="B2" i="52"/>
  <c r="B3" i="52" s="1"/>
  <c r="B4" i="52" s="1"/>
  <c r="B5" i="52" s="1"/>
  <c r="B7" i="52" s="1"/>
  <c r="B8" i="52" s="1"/>
  <c r="B9" i="52" s="1"/>
  <c r="B10" i="52" s="1"/>
  <c r="B11" i="52" s="1"/>
  <c r="B12" i="52" s="1"/>
  <c r="B14" i="52" s="1"/>
  <c r="B15" i="52" s="1"/>
  <c r="B16" i="52" s="1"/>
  <c r="B17" i="52" s="1"/>
  <c r="B18" i="52" s="1"/>
  <c r="E1" i="52" s="1"/>
  <c r="E2" i="52" s="1"/>
  <c r="E3" i="52" s="1"/>
  <c r="E4" i="52" s="1"/>
  <c r="E6" i="52" s="1"/>
  <c r="E7" i="52" s="1"/>
  <c r="E8" i="52" s="1"/>
  <c r="E9" i="52" s="1"/>
  <c r="E10" i="52" s="1"/>
  <c r="E11" i="52" s="1"/>
  <c r="E12" i="52" s="1"/>
  <c r="E14" i="52" s="1"/>
  <c r="E16" i="52" s="1"/>
  <c r="E18" i="52" s="1"/>
  <c r="B4" i="47"/>
  <c r="B5" i="47" s="1"/>
  <c r="B6" i="47" s="1"/>
  <c r="B7" i="47" s="1"/>
  <c r="B9" i="47" s="1"/>
  <c r="B12" i="47"/>
  <c r="B13" i="47" s="1"/>
  <c r="B14" i="47" s="1"/>
  <c r="D14" i="63"/>
  <c r="D6" i="61" s="1"/>
  <c r="G15" i="66"/>
  <c r="F16" i="70"/>
  <c r="C14" i="117"/>
  <c r="B15" i="47" l="1"/>
  <c r="B16" i="47" s="1"/>
  <c r="B17" i="47" s="1"/>
  <c r="B18" i="47" s="1"/>
  <c r="B19" i="47" s="1"/>
  <c r="B20" i="47" s="1"/>
  <c r="B21" i="47" s="1"/>
  <c r="B22" i="47" s="1"/>
  <c r="B23" i="47" s="1"/>
  <c r="E3" i="47" s="1"/>
  <c r="E4" i="47" s="1"/>
  <c r="E5" i="47" s="1"/>
  <c r="E6" i="47" s="1"/>
  <c r="E8" i="47" s="1"/>
  <c r="E9" i="47" s="1"/>
  <c r="E10" i="47" s="1"/>
  <c r="E11" i="47" s="1"/>
  <c r="E12" i="47" s="1"/>
  <c r="E13" i="47" s="1"/>
  <c r="E15" i="47" s="1"/>
  <c r="E16" i="47" s="1"/>
  <c r="E17" i="47" s="1"/>
  <c r="E18" i="47" s="1"/>
  <c r="E19" i="47" s="1"/>
  <c r="E20" i="47" s="1"/>
  <c r="E21" i="47" s="1"/>
  <c r="G11" i="79"/>
  <c r="G20" i="89"/>
  <c r="H11" i="74"/>
  <c r="G11" i="74"/>
  <c r="G16" i="73"/>
  <c r="G9" i="73"/>
  <c r="G14" i="72"/>
  <c r="G12" i="66"/>
  <c r="G6" i="97"/>
  <c r="G10" i="97" s="1"/>
  <c r="G21" i="44"/>
  <c r="G24" i="63"/>
  <c r="G15" i="63"/>
  <c r="E14" i="63"/>
  <c r="E6" i="61" s="1"/>
  <c r="C14" i="63"/>
  <c r="C6" i="61" s="1"/>
  <c r="F14" i="63"/>
  <c r="F6" i="61" s="1"/>
  <c r="F6" i="66"/>
  <c r="F7" i="66" s="1"/>
  <c r="D7" i="66"/>
  <c r="G19" i="88"/>
  <c r="B6" i="66"/>
  <c r="B7" i="66" s="1"/>
  <c r="D11" i="74"/>
  <c r="G9" i="66"/>
  <c r="G6" i="66" s="1"/>
  <c r="G7" i="66" s="1"/>
  <c r="E6" i="66"/>
  <c r="E7" i="66" s="1"/>
  <c r="H6" i="66"/>
  <c r="H7" i="66" s="1"/>
  <c r="C6" i="66"/>
  <c r="C7" i="66" s="1"/>
  <c r="G16" i="37"/>
  <c r="G12" i="89"/>
  <c r="G16" i="117"/>
  <c r="G6" i="117"/>
  <c r="G10" i="117"/>
  <c r="E14" i="117"/>
  <c r="F14" i="117"/>
  <c r="D14" i="117"/>
  <c r="B14" i="117"/>
  <c r="G15" i="117"/>
  <c r="G14" i="83"/>
  <c r="G9" i="76"/>
  <c r="G21" i="76"/>
  <c r="G17" i="76"/>
  <c r="F11" i="74"/>
  <c r="C11" i="74"/>
  <c r="E11" i="74"/>
  <c r="G17" i="37"/>
  <c r="G19" i="37" s="1"/>
  <c r="G15" i="37"/>
  <c r="F21" i="73"/>
  <c r="C21" i="73"/>
  <c r="G16" i="108"/>
  <c r="G15" i="108" s="1"/>
  <c r="B16" i="70"/>
  <c r="C16" i="70"/>
  <c r="G6" i="70"/>
  <c r="G6" i="72"/>
  <c r="G12" i="72" s="1"/>
  <c r="G27" i="42"/>
  <c r="G20" i="69"/>
  <c r="G16" i="63"/>
  <c r="G10" i="63"/>
  <c r="G6" i="63"/>
  <c r="H14" i="63"/>
  <c r="H6" i="61" s="1"/>
  <c r="G18" i="70"/>
  <c r="G11" i="70"/>
  <c r="G14" i="70" s="1"/>
  <c r="G9" i="70"/>
  <c r="D16" i="70"/>
  <c r="G21" i="73"/>
  <c r="G17" i="63"/>
  <c r="G14" i="117" l="1"/>
  <c r="G14" i="63"/>
  <c r="G6" i="61" s="1"/>
  <c r="G16" i="70"/>
</calcChain>
</file>

<file path=xl/sharedStrings.xml><?xml version="1.0" encoding="utf-8"?>
<sst xmlns="http://schemas.openxmlformats.org/spreadsheetml/2006/main" count="1715" uniqueCount="1041">
  <si>
    <t>Institut National de la Santé et de la Recherche Médicale</t>
  </si>
  <si>
    <t>DARES</t>
  </si>
  <si>
    <t>DIRECCTE</t>
  </si>
  <si>
    <t>DEPP</t>
  </si>
  <si>
    <t>SCOLARITE, FORMATION, INSERTION</t>
  </si>
  <si>
    <t xml:space="preserve">  En emploi, y compris apprentissage (en %)</t>
  </si>
  <si>
    <t xml:space="preserve">  Au chômage (en %)</t>
  </si>
  <si>
    <t xml:space="preserve">Aides et compensations </t>
  </si>
  <si>
    <t xml:space="preserve">Mesures de PJ des majeurs vulnérables </t>
  </si>
  <si>
    <t>PROTECTION JURIDIQUE DES MAJEURS VULNERABLES</t>
  </si>
  <si>
    <t>(1) Uniquement services tutélaires</t>
  </si>
  <si>
    <t>ENFANCE, PROTECTION DE L'ENFANCE</t>
  </si>
  <si>
    <t>Protection de l'enfance</t>
  </si>
  <si>
    <t xml:space="preserve">DIPLOMES DELIVRES </t>
  </si>
  <si>
    <t>Créations d'associations pour 1000 hab</t>
  </si>
  <si>
    <t>Nb mesures pour 1000 hab. 18 ans et plus</t>
  </si>
  <si>
    <t>URSSAF</t>
  </si>
  <si>
    <t>MSA</t>
  </si>
  <si>
    <t>Union de Recouvrement de la Sécurité Sociale et des Allocations Familiales</t>
  </si>
  <si>
    <t>Mutualité Sociale Agricole</t>
  </si>
  <si>
    <t>SAVS</t>
  </si>
  <si>
    <t>Service d'Accompagnement de la Vie Sociale</t>
  </si>
  <si>
    <t>SAMSAH</t>
  </si>
  <si>
    <t>Service d'Accompagnement Médico-Social des Adultes Handicapés</t>
  </si>
  <si>
    <t>Caisse nationale de l'assurance maladie des travailleurs salariés</t>
  </si>
  <si>
    <t>garçons de 20-24 ans</t>
  </si>
  <si>
    <t>filles de 20-24 ans</t>
  </si>
  <si>
    <t>(3) Contrat Unique d'Insertion - Contrat d'Accompagnement dans l'Emploi</t>
  </si>
  <si>
    <t>(4) Contrat Unique d'Insertion - Contrat Initiative Emploi</t>
  </si>
  <si>
    <t>DREES</t>
  </si>
  <si>
    <t xml:space="preserve">   Fins de CDD</t>
  </si>
  <si>
    <t xml:space="preserve">   Fins de mission d'intérim</t>
  </si>
  <si>
    <t xml:space="preserve">   Licenciements économiques (1)</t>
  </si>
  <si>
    <t xml:space="preserve">   Démissions</t>
  </si>
  <si>
    <t xml:space="preserve">   Premières entrées</t>
  </si>
  <si>
    <t xml:space="preserve">   Reprises d'activité</t>
  </si>
  <si>
    <t xml:space="preserve">   Reprises d'emploi déclarées</t>
  </si>
  <si>
    <t xml:space="preserve">   Entrées en stage</t>
  </si>
  <si>
    <t xml:space="preserve">      dont maladies</t>
  </si>
  <si>
    <t xml:space="preserve">   Défauts d'actualisation</t>
  </si>
  <si>
    <t xml:space="preserve">   Radiations administratives</t>
  </si>
  <si>
    <t xml:space="preserve">présentant les principaux indicateurs et statistiques disponibles </t>
  </si>
  <si>
    <t>des domaines de la cohésion sociale, de la jeunesse et des sports</t>
  </si>
  <si>
    <t xml:space="preserve">nb logts suroccupés </t>
  </si>
  <si>
    <t>pour la région Pays de la Loire et ses cinq départements.</t>
  </si>
  <si>
    <t>Contact : Elisabeth Gallard, tel : 02 40 12 87 09, email : elisabeth.gallard@drjscs.gouv.fr</t>
  </si>
  <si>
    <t>SOMMAIRE</t>
  </si>
  <si>
    <t>ADRESSES UTILES</t>
  </si>
  <si>
    <t>Maine-et-Loire</t>
  </si>
  <si>
    <r>
      <t>(1)</t>
    </r>
    <r>
      <rPr>
        <i/>
        <sz val="7"/>
        <color indexed="8"/>
        <rFont val="Calibri"/>
        <family val="2"/>
      </rPr>
      <t xml:space="preserve"> Provenant de ménages ne résidant pas dans le parc social HLM</t>
    </r>
  </si>
  <si>
    <r>
      <t>(2)</t>
    </r>
    <r>
      <rPr>
        <i/>
        <sz val="7"/>
        <color indexed="8"/>
        <rFont val="Calibri"/>
        <family val="2"/>
      </rPr>
      <t xml:space="preserve"> Provenant de ménages résidant dans le parc social HLM</t>
    </r>
  </si>
  <si>
    <t>AUTRES MINIMA SOCIAUX</t>
  </si>
  <si>
    <t xml:space="preserve">  Elèves, étudiantes, stagiaires (en %)</t>
  </si>
  <si>
    <t xml:space="preserve">  Elèves, étudiants, stagiaires (en %)</t>
  </si>
  <si>
    <t xml:space="preserve">   25-49 ans</t>
  </si>
  <si>
    <t xml:space="preserve">   50 ans et plus</t>
  </si>
  <si>
    <t>Demandeurs (A, B, C) de moins d'un an</t>
  </si>
  <si>
    <t>Population couverte par le RSA (2)</t>
  </si>
  <si>
    <t>IMMIGRATION</t>
  </si>
  <si>
    <t>Données générales</t>
  </si>
  <si>
    <t>Indicateurs démographiques</t>
  </si>
  <si>
    <t>Répartition par âge de la population</t>
  </si>
  <si>
    <t>Structure par âge de la population</t>
  </si>
  <si>
    <t>Allocataires du Revenu de Solidarité Active (RSA)</t>
  </si>
  <si>
    <t>Demandeurs d’emploi</t>
  </si>
  <si>
    <t>Dépenses d’aides sociales – Compétence de l’Etat</t>
  </si>
  <si>
    <t>Diplômes délivrés dans le champ du sport et de l’animation</t>
  </si>
  <si>
    <t>Diplômes délivrés dans le champ des formations sociales</t>
  </si>
  <si>
    <t>Parc locatif social</t>
  </si>
  <si>
    <t>Demande locative sociale</t>
  </si>
  <si>
    <t>Equipements d’hébergement social</t>
  </si>
  <si>
    <t>SPORTS</t>
  </si>
  <si>
    <t>Recours au Droit au Logement Opposable (DALO)</t>
  </si>
  <si>
    <t>Pratiques sportives</t>
  </si>
  <si>
    <t>JEUNESSE</t>
  </si>
  <si>
    <t>Le sport de haut niveau</t>
  </si>
  <si>
    <t>La jeunesse en Pays de la Loire</t>
  </si>
  <si>
    <t>Equipements sportifs</t>
  </si>
  <si>
    <t>Accueil des enfants d’âge préscolaire</t>
  </si>
  <si>
    <t>GLOSSAIRE des SIGLES et des INSTITUTIONS</t>
  </si>
  <si>
    <t>AVANT-PROPOS</t>
  </si>
  <si>
    <t>Autres minima sociaux</t>
  </si>
  <si>
    <t>Revenus et inégalités de revenus</t>
  </si>
  <si>
    <t>PAUVRETE et PRECARITE</t>
  </si>
  <si>
    <t>Diplôme supérieur en travail social / Ingénieur social (DEIS)</t>
  </si>
  <si>
    <t>(1) Y compris fins de conventions de conversion, de Projet d'Action Personnalisé (PAP) anticipés et de Convention de Reclassement Personnalisée (CRP)</t>
  </si>
  <si>
    <t>PLAI</t>
  </si>
  <si>
    <t>PLUS</t>
  </si>
  <si>
    <t>DIPLÔMES DELIVRES dans le CHAMP du SPORT et de L’ANIMATION</t>
  </si>
  <si>
    <t>Niveau V</t>
  </si>
  <si>
    <r>
      <t xml:space="preserve">BAPAAT </t>
    </r>
    <r>
      <rPr>
        <sz val="6"/>
        <color indexed="8"/>
        <rFont val="Calibri"/>
        <family val="2"/>
      </rPr>
      <t>(Loisirs tout public, loisirs du jeune et de l'enfant, loisirs de pleine nature)</t>
    </r>
  </si>
  <si>
    <r>
      <t xml:space="preserve">BE </t>
    </r>
    <r>
      <rPr>
        <sz val="6"/>
        <color indexed="8"/>
        <rFont val="Calibri"/>
        <family val="2"/>
      </rPr>
      <t>Alpinisme - accompagnateur moyenne montagne</t>
    </r>
  </si>
  <si>
    <t xml:space="preserve">BAFA : Brevet d'Aptitude aux Fonctions d'Animateur </t>
  </si>
  <si>
    <t>TOTAL DIPLOMES DELIVRES</t>
  </si>
  <si>
    <t>Fonction d'encadrement et de responsable d'unité d'intervention sociale (CAFERUIS)</t>
  </si>
  <si>
    <t>Pays de la Loire*</t>
  </si>
  <si>
    <t>France** métropolitaine</t>
  </si>
  <si>
    <t xml:space="preserve">  Fédérations unisport olympiques</t>
  </si>
  <si>
    <t xml:space="preserve">  Fédérations unisport non olympiques</t>
  </si>
  <si>
    <t xml:space="preserve">  Fédérations multisports</t>
  </si>
  <si>
    <t xml:space="preserve">    Part des licences féminines (en %)</t>
  </si>
  <si>
    <t>Licences sportives pour 100 habitants</t>
  </si>
  <si>
    <t xml:space="preserve">  Part des femmes (en %)</t>
  </si>
  <si>
    <t>Garçons</t>
  </si>
  <si>
    <t xml:space="preserve">   Moins de 15 ans</t>
  </si>
  <si>
    <t xml:space="preserve">   De 15 à 24 ans</t>
  </si>
  <si>
    <t>Filles</t>
  </si>
  <si>
    <t>Ensemble</t>
  </si>
  <si>
    <t>LOGEMENT DES JEUNES</t>
  </si>
  <si>
    <t>Cohabitation familiale des jeunes de 20 à 24 ans</t>
  </si>
  <si>
    <t>Jeunes hommes vivant chez leurs parents</t>
  </si>
  <si>
    <t>Jeunes filles vivant chez leurs parents</t>
  </si>
  <si>
    <t xml:space="preserve">Jeunes habitant hors du domicile parental </t>
  </si>
  <si>
    <t>CONDUITES A RISQUES, MORTALITE</t>
  </si>
  <si>
    <t>Personnes majeures sous mesures de protection juridique (1)</t>
  </si>
  <si>
    <t>Bénéficiaires d'une PJM nouvelle (entrées)</t>
  </si>
  <si>
    <t>Consommation des garçons de 17 ans (%)</t>
  </si>
  <si>
    <t>Consommation des filles de 17 ans (%)</t>
  </si>
  <si>
    <t>Scolarité, formation, insertion</t>
  </si>
  <si>
    <t>LE SPORT de HAUT NIVEAU</t>
  </si>
  <si>
    <t xml:space="preserve">  Liste France Jeune</t>
  </si>
  <si>
    <t xml:space="preserve">  Liste Reconversion</t>
  </si>
  <si>
    <t xml:space="preserve">  Pôles France </t>
  </si>
  <si>
    <t xml:space="preserve">  Pôles Espoirs</t>
  </si>
  <si>
    <t>EQUIPEMENTS SPORTIFS</t>
  </si>
  <si>
    <r>
      <t xml:space="preserve">Equipements sportifs </t>
    </r>
    <r>
      <rPr>
        <b/>
        <sz val="6"/>
        <color indexed="8"/>
        <rFont val="Calibri"/>
        <family val="2"/>
      </rPr>
      <t xml:space="preserve">(hors sports de nature)   </t>
    </r>
  </si>
  <si>
    <t>EMPLOIS SALARIES dans des ACTIVITES ECONOMIQUES liées au SPORT</t>
  </si>
  <si>
    <t>INDICATEURS DEMOGRAPHIQUES</t>
  </si>
  <si>
    <t>Source : Pôle Emploi, DARES (Statistiques du marché du travail), DIRECCTE (traitement ESE)</t>
  </si>
  <si>
    <t xml:space="preserve">DEMANDEURS D'EMPLOI de LONGUE DUREE (plus d'un an) par SEXE et par AGE </t>
  </si>
  <si>
    <r>
      <t>(1)</t>
    </r>
    <r>
      <rPr>
        <i/>
        <sz val="7"/>
        <color indexed="8"/>
        <rFont val="Calibri"/>
        <family val="2"/>
      </rPr>
      <t xml:space="preserve"> Personnes étrangères nées à l’étranger et résidant en France, y compris celles d’entre elles qui sont devenues françaises par acquisition</t>
    </r>
  </si>
  <si>
    <t xml:space="preserve">   Dont résidences principales</t>
  </si>
  <si>
    <t>Taux de mobilité (2)</t>
  </si>
  <si>
    <t>Taux de vacance (3)</t>
  </si>
  <si>
    <t xml:space="preserve">   Etablissements d'accueil mère-enfant</t>
  </si>
  <si>
    <t xml:space="preserve">   Pouponnières à caractère social</t>
  </si>
  <si>
    <t xml:space="preserve">   Foyers de l'enfance</t>
  </si>
  <si>
    <t xml:space="preserve">   Maisons d'enfants à caractère social</t>
  </si>
  <si>
    <t xml:space="preserve">   Centres de placement familial social</t>
  </si>
  <si>
    <t xml:space="preserve">   Bénéficiaires % hab. de 20 à 64 ans</t>
  </si>
  <si>
    <t>TOTAL DIPLOMES DELIVRES (1)</t>
  </si>
  <si>
    <t>PRATIQUES SPORTIVES</t>
  </si>
  <si>
    <t>CREATIONS D'ASSOCIATIONS</t>
  </si>
  <si>
    <t>Action caritative et humanitaire</t>
  </si>
  <si>
    <t>Action sociale et santé</t>
  </si>
  <si>
    <t>Défense des droits et des causes</t>
  </si>
  <si>
    <t>Education, formation, insertion</t>
  </si>
  <si>
    <t>Sport</t>
  </si>
  <si>
    <t>Culture</t>
  </si>
  <si>
    <t>Loisirs et vie sociale</t>
  </si>
  <si>
    <t>Autres</t>
  </si>
  <si>
    <t>ASSOCIATIONS EMPLOYEURS</t>
  </si>
  <si>
    <t>Agriculture, sylviculture et pêche</t>
  </si>
  <si>
    <t>Industrie, construction</t>
  </si>
  <si>
    <t xml:space="preserve">    dont enseignement</t>
  </si>
  <si>
    <t xml:space="preserve">    dont santé </t>
  </si>
  <si>
    <t xml:space="preserve">    dont action sociale</t>
  </si>
  <si>
    <t>EFFECTIFS SALARIES DANS LES  ASSOCIATIONS</t>
  </si>
  <si>
    <t xml:space="preserve">Salariés par activité économique </t>
  </si>
  <si>
    <t>Champ : postes de travail au 31 décembre (hors intérimaires et postes annexes)</t>
  </si>
  <si>
    <t xml:space="preserve">ETP par activité économique </t>
  </si>
  <si>
    <t>Source : Insee (Clap)</t>
  </si>
  <si>
    <t>Champ : postes de travail dans l'année en équivalent temps plein (hors intérimaires)</t>
  </si>
  <si>
    <t>POIDS DE L'ECONOMIE SOCIALE ET SOLIDAIRE DANS L'EMPLOI TOTAL</t>
  </si>
  <si>
    <t>(1) poids mesuré en ETP par rapport aux postes de travail dans l'année (hors intérimaires)</t>
  </si>
  <si>
    <t>POIDS DES REMUNERATIONS BRUTES DES ASSOCIATIONS DANS L'ENSEMBLE DES REMUNERATIONS</t>
  </si>
  <si>
    <t>Champ : rémunérations brutes versées dans l'année</t>
  </si>
  <si>
    <t>DONNEES GENERALES</t>
  </si>
  <si>
    <t xml:space="preserve">Nb équivalents temps plein (ETP) </t>
  </si>
  <si>
    <t xml:space="preserve">   Bénéficiaires de la PCH (2) et de </t>
  </si>
  <si>
    <t xml:space="preserve">   dont allocataires RSA socle majoré</t>
  </si>
  <si>
    <t xml:space="preserve">   dont allocataires RSA socle non majoré</t>
  </si>
  <si>
    <t xml:space="preserve">   dont allocataires RSA activité seul</t>
  </si>
  <si>
    <t>nb élèves 1er degré</t>
  </si>
  <si>
    <t>nb élèves 2e degré</t>
  </si>
  <si>
    <t>nb élèves total</t>
  </si>
  <si>
    <t>Ensemble des éléves (public et privé ; handicapés ou non)</t>
  </si>
  <si>
    <t>Allocation Supplém. Vieillesse (ASV) et</t>
  </si>
  <si>
    <t xml:space="preserve">(1) Allocation chômage pour les demandeurs d'emploi ayant épuisé leurs droits à l'assurance chômage et justifiant d'au moins 5 années </t>
  </si>
  <si>
    <t>Exercées par des  services mandataires</t>
  </si>
  <si>
    <t>Exercées par des mandataires physiques</t>
  </si>
  <si>
    <t xml:space="preserve">Ratio demandes satisfaites </t>
  </si>
  <si>
    <t xml:space="preserve">Centres Hébergement &amp; Réinsertion Sociale </t>
  </si>
  <si>
    <t xml:space="preserve">  PLAI (Prêt Locatif Aidé d'Intégration)</t>
  </si>
  <si>
    <t xml:space="preserve">  PLUS  (Prêt locatif à usage social)</t>
  </si>
  <si>
    <t>Logements ayant bénéficié d'aides à la location sociale</t>
  </si>
  <si>
    <t>Logements locatifs sociaux financés</t>
  </si>
  <si>
    <t xml:space="preserve">Part jeunes de 17 ans à faibles capacités </t>
  </si>
  <si>
    <t>Difficultés scolaires (1)</t>
  </si>
  <si>
    <t>Centres provisoires d'hébergement</t>
  </si>
  <si>
    <t>Moins de 25 ans dans la population</t>
  </si>
  <si>
    <t>Ensemble jeunes vivant chez leurs parents</t>
  </si>
  <si>
    <t>(1) au moins une cigarette par jour</t>
  </si>
  <si>
    <t>(2) au moins dix usages dans le mois</t>
  </si>
  <si>
    <t>(1) Enseignements public et privé</t>
  </si>
  <si>
    <t>% diplômés sup chez 25-34 ans non étudiants</t>
  </si>
  <si>
    <t>% non-diplômés / 20-24 ans ni élèv. ni étud.</t>
  </si>
  <si>
    <t>Enseign. discipl. sportives et activités loisirs</t>
  </si>
  <si>
    <t>Fab. bicyclettes et véhicules pour invalides</t>
  </si>
  <si>
    <t>Commerce détail articles sport magasin spéc.</t>
  </si>
  <si>
    <t>Location, location-bail articles loisirs et sport</t>
  </si>
  <si>
    <r>
      <t>BPJEPS</t>
    </r>
    <r>
      <rPr>
        <sz val="7"/>
        <color indexed="8"/>
        <rFont val="Calibri"/>
        <family val="2"/>
      </rPr>
      <t xml:space="preserve"> </t>
    </r>
    <r>
      <rPr>
        <sz val="6"/>
        <color indexed="8"/>
        <rFont val="Calibri"/>
        <family val="2"/>
      </rPr>
      <t xml:space="preserve">(Activités équestres, activités gymniques de la forme et de la force, activités physiques </t>
    </r>
  </si>
  <si>
    <t>DIPLÔMES NON PROFESSIONNELS</t>
  </si>
  <si>
    <t>Commerce, transports, héberg. restauration</t>
  </si>
  <si>
    <t>Administration publique, enseignement,</t>
  </si>
  <si>
    <t xml:space="preserve"> santé humaine et action sociale</t>
  </si>
  <si>
    <t xml:space="preserve">Part des mutuelles, coopératives </t>
  </si>
  <si>
    <t>et fondations dans l'emploi total (1)</t>
  </si>
  <si>
    <t xml:space="preserve">Part rémunérations brutes des associations </t>
  </si>
  <si>
    <t>25-54 ans</t>
  </si>
  <si>
    <t>Population de 26 à 64 ans</t>
  </si>
  <si>
    <t>Population de 65 ans et plus</t>
  </si>
  <si>
    <t>DEMOGRAPHIE</t>
  </si>
  <si>
    <t>Direction départementale de la Cohésion Sociale du Maine et Loire – DDCS 49</t>
  </si>
  <si>
    <t>Sources : CNAF, MSA, DREES</t>
  </si>
  <si>
    <t>Emplois salariés dans des activités économiques liées au sport</t>
  </si>
  <si>
    <t>Direction Départementale de la Cohésion Sociale et de la Protection des Populations de la Mayenne – DDCSPP 53</t>
  </si>
  <si>
    <t>Direction départementale de la Cohésion Sociale de la Sarthe – DDCS 72</t>
  </si>
  <si>
    <t>Direction Départementale de la Cohésion Sociale de la Vendée – DDCS 85</t>
  </si>
  <si>
    <r>
      <t>(1)</t>
    </r>
    <r>
      <rPr>
        <i/>
        <sz val="7"/>
        <color indexed="8"/>
        <rFont val="Calibri"/>
        <family val="2"/>
      </rPr>
      <t xml:space="preserve"> HLM et autres bailleurs sociaux (sociétés immobilières d'économie mixte, État, collectivités locales et Ets publics) hors loi de 1948</t>
    </r>
  </si>
  <si>
    <r>
      <t>(2)</t>
    </r>
    <r>
      <rPr>
        <i/>
        <sz val="7"/>
        <color indexed="8"/>
        <rFont val="Calibri"/>
        <family val="2"/>
      </rPr>
      <t xml:space="preserve"> Nombre d'emménagements dans l'année sur le nombre de logements locatifs sociaux</t>
    </r>
  </si>
  <si>
    <r>
      <t>(3)</t>
    </r>
    <r>
      <rPr>
        <i/>
        <sz val="7"/>
        <color indexed="8"/>
        <rFont val="Calibri"/>
        <family val="2"/>
      </rPr>
      <t xml:space="preserve"> Part des logements non occupés</t>
    </r>
  </si>
  <si>
    <r>
      <t>(1)</t>
    </r>
    <r>
      <rPr>
        <i/>
        <sz val="7"/>
        <color indexed="8"/>
        <rFont val="Calibri"/>
        <family val="2"/>
      </rPr>
      <t xml:space="preserve"> Calculés sur le nombre de personnes passées par les places en insertion</t>
    </r>
  </si>
  <si>
    <t>Part des logements suroccupés</t>
  </si>
  <si>
    <t>Logement des jeunes</t>
  </si>
  <si>
    <t>Conduites à risque, mortalité</t>
  </si>
  <si>
    <r>
      <t>(*)</t>
    </r>
    <r>
      <rPr>
        <i/>
        <sz val="7"/>
        <color indexed="8"/>
        <rFont val="Calibri"/>
        <family val="2"/>
      </rPr>
      <t xml:space="preserve"> y compris non répartis par département</t>
    </r>
  </si>
  <si>
    <r>
      <t>(**)</t>
    </r>
    <r>
      <rPr>
        <i/>
        <sz val="7"/>
        <color indexed="8"/>
        <rFont val="Calibri"/>
        <family val="2"/>
      </rPr>
      <t xml:space="preserve"> y compris non répartis par région</t>
    </r>
  </si>
  <si>
    <t>(2) Prestation de Compensation Handicap</t>
  </si>
  <si>
    <t>(3) Allocation de Compensation pour une Tierce Personne</t>
  </si>
  <si>
    <t>Ménages dont la personne de référence</t>
  </si>
  <si>
    <t>a moins de 25 ans</t>
  </si>
  <si>
    <t xml:space="preserve">    dont ménages d'une seule personne (%)</t>
  </si>
  <si>
    <t xml:space="preserve">    dont ménages de deux personnes (%)</t>
  </si>
  <si>
    <t xml:space="preserve">   En classes ordinaires</t>
  </si>
  <si>
    <t>Cadres de santé</t>
  </si>
  <si>
    <t>Puéricultrices</t>
  </si>
  <si>
    <t>Infirmiers anesthésistes</t>
  </si>
  <si>
    <t>Economie, développement local, tourisme</t>
  </si>
  <si>
    <t>nd</t>
  </si>
  <si>
    <t>Techniciens en analyse biomédicale</t>
  </si>
  <si>
    <t>Infirmiers</t>
  </si>
  <si>
    <t>Pédicures - podologues</t>
  </si>
  <si>
    <t>Psychomotriciens</t>
  </si>
  <si>
    <t>Ergothérapeutes</t>
  </si>
  <si>
    <t>Manipulateurs électro-radiologie</t>
  </si>
  <si>
    <t>Masseurs-kinésithérapeutes</t>
  </si>
  <si>
    <t>Niveau III</t>
  </si>
  <si>
    <t xml:space="preserve"> </t>
  </si>
  <si>
    <t>Directeur d'établissement ou de service d'intervention sociale (CAFDES)</t>
  </si>
  <si>
    <t>Niveau I</t>
  </si>
  <si>
    <t>Médiateur familial</t>
  </si>
  <si>
    <t>Niveau II</t>
  </si>
  <si>
    <t>Conseiller en économie sociale familiale</t>
  </si>
  <si>
    <t>Educateur technique spécialisé</t>
  </si>
  <si>
    <t>Educateur de jeunes enfants</t>
  </si>
  <si>
    <t>Educateur spécialisé</t>
  </si>
  <si>
    <t>Assistant de service social</t>
  </si>
  <si>
    <t>Moniteur éducateur</t>
  </si>
  <si>
    <t>Technicien de l'intervention sociale et familiale</t>
  </si>
  <si>
    <t>Niveau IV</t>
  </si>
  <si>
    <t xml:space="preserve">Assistant familial  </t>
  </si>
  <si>
    <t>Auxiliaire de vie sociale</t>
  </si>
  <si>
    <r>
      <t>Prêt Locatif à Usage Social qui</t>
    </r>
    <r>
      <rPr>
        <b/>
        <sz val="7"/>
        <color indexed="8"/>
        <rFont val="Calibri"/>
        <family val="2"/>
      </rPr>
      <t xml:space="preserve"> </t>
    </r>
    <r>
      <rPr>
        <sz val="7"/>
        <color indexed="8"/>
        <rFont val="Calibri"/>
        <family val="2"/>
      </rPr>
      <t>permet aux organismes de logement social et aux sociétés d'économie mixte  de financer l'achat de terrain et la construction de logements neufs, l'acquisition-amélioration de logements anciens et l a transformation de locaux divers, avec ou sans acquisition, en logements locatifs.</t>
    </r>
  </si>
  <si>
    <r>
      <t xml:space="preserve">02.41.72.47.20 / </t>
    </r>
    <r>
      <rPr>
        <u/>
        <sz val="7"/>
        <color indexed="8"/>
        <rFont val="Calibri"/>
        <family val="2"/>
      </rPr>
      <t>ddcs-directeur@maine-et-loire.gouv.fr</t>
    </r>
  </si>
  <si>
    <r>
      <t xml:space="preserve">02.43.67.27.30 / </t>
    </r>
    <r>
      <rPr>
        <u/>
        <sz val="7"/>
        <color indexed="8"/>
        <rFont val="Calibri"/>
        <family val="2"/>
      </rPr>
      <t>ddcspp-directeur@mayenne.gouv.fr</t>
    </r>
  </si>
  <si>
    <r>
      <t>02.51.36.75.00 /</t>
    </r>
    <r>
      <rPr>
        <u/>
        <sz val="7"/>
        <color indexed="8"/>
        <rFont val="Calibri"/>
        <family val="2"/>
      </rPr>
      <t xml:space="preserve"> ddcs@vendee.gouv.fr</t>
    </r>
  </si>
  <si>
    <t>Aide médico-psychologique</t>
  </si>
  <si>
    <t>BAFD : Brevet d'Aptitude aux Fonctions de Directeur</t>
  </si>
  <si>
    <t xml:space="preserve">BP JEPS : Brevet Professionnel de la Jeunesse, de l'Éducation Populaire et du Sport </t>
  </si>
  <si>
    <t>BEES : Brevet d'État d'Éducateur Sportif</t>
  </si>
  <si>
    <t>DES JEPS : Diplôme d'État Supérieur de la Jeunesse, de l'Éducation Populaire et du Sport</t>
  </si>
  <si>
    <t>BAPAAT : Brevet d'Aptitude Professionnelle d'Assistant Animateur Technicien</t>
  </si>
  <si>
    <t>DE JEPS : Diplôme d'État de la Jeunesse, de l'Éducation Populaire et du Sport</t>
  </si>
  <si>
    <t>BAFD</t>
  </si>
  <si>
    <t>BAFA</t>
  </si>
  <si>
    <t>Jeunes-filles de 15 à 19 ans</t>
  </si>
  <si>
    <t>Jeunes-hommes de 15 à 19 ans</t>
  </si>
  <si>
    <t>Jeunes-filles de 20 à 24 ans</t>
  </si>
  <si>
    <t>Jeunes-hommes de 20 à 24 ans</t>
  </si>
  <si>
    <t>DSN</t>
  </si>
  <si>
    <t>Direction du Service National</t>
  </si>
  <si>
    <t>DREAL</t>
  </si>
  <si>
    <t>Direction Régionale des Entreprises, de la Concurrence, de la Consommation, du Travail et de l’Emploi</t>
  </si>
  <si>
    <t>Direction Régionale de l'Environnement, de l'Aménagement et du Logement</t>
  </si>
  <si>
    <t xml:space="preserve">ACTIVITE DES JEUNES DE 15 A 24 ANS </t>
  </si>
  <si>
    <t>Personnes de 18 ans et plus</t>
  </si>
  <si>
    <t xml:space="preserve">   1er décile (D1) </t>
  </si>
  <si>
    <t xml:space="preserve">   9e décile (D9) </t>
  </si>
  <si>
    <t>Source : INSEE, estimation de population au 1er janvier</t>
  </si>
  <si>
    <t>Statut d'occupation des résidences principales</t>
  </si>
  <si>
    <t xml:space="preserve">      Part des résidences secondaires (1)</t>
  </si>
  <si>
    <t>Prix du m² loué</t>
  </si>
  <si>
    <t>Nombre de recours en vue d'un logement</t>
  </si>
  <si>
    <t>Non examinés</t>
  </si>
  <si>
    <t>Examinés</t>
  </si>
  <si>
    <t xml:space="preserve">   Dont favorables</t>
  </si>
  <si>
    <t xml:space="preserve">   Dont rejets</t>
  </si>
  <si>
    <t xml:space="preserve">   Dont sans objet</t>
  </si>
  <si>
    <t xml:space="preserve">   Dont réorientation</t>
  </si>
  <si>
    <t>INSEE</t>
  </si>
  <si>
    <t>Source : INSEE</t>
  </si>
  <si>
    <t xml:space="preserve">   Crèches collectives (parentales inclues)</t>
  </si>
  <si>
    <t xml:space="preserve">   Haltes-garderies</t>
  </si>
  <si>
    <t xml:space="preserve">   Multi-accueil</t>
  </si>
  <si>
    <t xml:space="preserve">   Garde d'enfants à domicile</t>
  </si>
  <si>
    <t>VIE ASSOCIATIVE</t>
  </si>
  <si>
    <t>TOTAL DEPENSES BRUTES</t>
  </si>
  <si>
    <t xml:space="preserve">   Bénéficiaires de l'AAH</t>
  </si>
  <si>
    <t xml:space="preserve">  Liste Elite</t>
  </si>
  <si>
    <t xml:space="preserve">  Liste Sénior</t>
  </si>
  <si>
    <t>Total sportifs en listes</t>
  </si>
  <si>
    <t>Prêt Locatif Aidé d’Intégration destiné à financer la construction, l’acquisition et l’amélioration de logements loués à des personnes cumulant des ressources faibles et des difficultés sociales et pouvant nécessiter de ce fait d’un accompagnement spécifique.</t>
  </si>
  <si>
    <t>Taux équipement en centre d'hébergement (2) (en ‰)</t>
  </si>
  <si>
    <t xml:space="preserve">   Revenu médian (€)</t>
  </si>
  <si>
    <r>
      <t>BEES 2</t>
    </r>
    <r>
      <rPr>
        <b/>
        <vertAlign val="superscript"/>
        <sz val="7"/>
        <color indexed="8"/>
        <rFont val="Calibri"/>
        <family val="2"/>
      </rPr>
      <t>ème</t>
    </r>
    <r>
      <rPr>
        <b/>
        <sz val="7"/>
        <color indexed="8"/>
        <rFont val="Calibri"/>
        <family val="2"/>
      </rPr>
      <t xml:space="preserve"> degré </t>
    </r>
    <r>
      <rPr>
        <sz val="6"/>
        <color indexed="8"/>
        <rFont val="Calibri"/>
        <family val="2"/>
      </rPr>
      <t>(Equitation, football, karaté)</t>
    </r>
  </si>
  <si>
    <t>Créations d'associations</t>
  </si>
  <si>
    <t>Associations employeurs</t>
  </si>
  <si>
    <t>Effectifs salariés dans les associations</t>
  </si>
  <si>
    <t>Emplois en équivalent temps plein dans les associations</t>
  </si>
  <si>
    <t>Poids de l'économie sociale et solidaire dans l'emploi total</t>
  </si>
  <si>
    <t xml:space="preserve">   Taux couverture CMUc pour 100 habitants</t>
  </si>
  <si>
    <t>Poids des rémunérations brutes des associations dans l'ensemble des rémunérations</t>
  </si>
  <si>
    <t>Nombre de sportifs de haut niveau</t>
  </si>
  <si>
    <t>Partenaires d'entrainement</t>
  </si>
  <si>
    <t>Liste Espoir</t>
  </si>
  <si>
    <t xml:space="preserve">Equipements sportifs de nature </t>
  </si>
  <si>
    <t>Ensemble des équipements sportifs</t>
  </si>
  <si>
    <t xml:space="preserve">   et diverses allocations et prestations</t>
  </si>
  <si>
    <t xml:space="preserve">   CHRS</t>
  </si>
  <si>
    <t xml:space="preserve">   Hébergement d'urgence</t>
  </si>
  <si>
    <t xml:space="preserve">   Centre Provisoire d'Hébergement</t>
  </si>
  <si>
    <t xml:space="preserve">  Tutelles et curatelles</t>
  </si>
  <si>
    <t xml:space="preserve">   Centre Accueil Demandeurs d'Asile</t>
  </si>
  <si>
    <t>M.A.N Beaulieu – 9 Rue René Viviani – CS 86227 – 44262 NANTES Cedex 2</t>
  </si>
  <si>
    <t>http://www.loire-atlantique.gouv.fr</t>
  </si>
  <si>
    <t>Cité administrative – Bat C – 15 Bis Rue Dupetit Thouars – 49047 ANGERS Cedex 01</t>
  </si>
  <si>
    <t>http://www.maine-et-loire.gouv.fr</t>
  </si>
  <si>
    <t>http://www.mayenne.gouv.fr</t>
  </si>
  <si>
    <t>Cité Administrative – 60 Rue Mac Donald – BP 93007 – 53063 LAVAL Cedex 9</t>
  </si>
  <si>
    <t>http://www.sarthe.gouv.fr</t>
  </si>
  <si>
    <t>29 Rue Delille – CS 20002 – 85023 LA ROCHE-SUR-YON Cedex</t>
  </si>
  <si>
    <t>http://www.vendee.gouv.fr</t>
  </si>
  <si>
    <t>ACCOMPAGNEMENT des PERSONNES HANDICAPEES ou DEPENDANTES</t>
  </si>
  <si>
    <t>(1) Allocation pour l'Education des Enfants Handicapés, données CNAF uniquement</t>
  </si>
  <si>
    <t>Sorties de PJM</t>
  </si>
  <si>
    <t xml:space="preserve">   dont par main-levée ou décès</t>
  </si>
  <si>
    <t>Accompagnement des personnes handicapées ou dépendantes</t>
  </si>
  <si>
    <t>Gestion d'installations sportives</t>
  </si>
  <si>
    <t>Activités de clubs de sports</t>
  </si>
  <si>
    <t>Activités des centres de culture physique</t>
  </si>
  <si>
    <t>Autres activités liées au sport</t>
  </si>
  <si>
    <t>Total secteur sport</t>
  </si>
  <si>
    <t>Construction de bateaux de plaisance</t>
  </si>
  <si>
    <t>Fabrication d'articles de sport</t>
  </si>
  <si>
    <t xml:space="preserve">Total filière sport </t>
  </si>
  <si>
    <t>s : secret statistique</t>
  </si>
  <si>
    <t>Maisons relais</t>
  </si>
  <si>
    <t>Moins de 6 ans</t>
  </si>
  <si>
    <t xml:space="preserve">   Assistantes maternelles agréées</t>
  </si>
  <si>
    <t>(1) Logements occasionnels inclus</t>
  </si>
  <si>
    <t xml:space="preserve">   dont collectif</t>
  </si>
  <si>
    <t xml:space="preserve">   dont individuel</t>
  </si>
  <si>
    <t xml:space="preserve">   Moins de 25 ans</t>
  </si>
  <si>
    <t xml:space="preserve">   25 à 49 ans</t>
  </si>
  <si>
    <t xml:space="preserve">   50 ans ou plus</t>
  </si>
  <si>
    <t xml:space="preserve">   Autres licenciements</t>
  </si>
  <si>
    <t xml:space="preserve">   Autres cas</t>
  </si>
  <si>
    <t xml:space="preserve">   Arrêts de recherche (maternité, retraite...)</t>
  </si>
  <si>
    <t>ENTREES et SORTIES à PÔLE EMPLOI par MOTIF</t>
  </si>
  <si>
    <t xml:space="preserve">      Part des ménages propriétaires</t>
  </si>
  <si>
    <t>Jeunes de 16 à 25 ans</t>
  </si>
  <si>
    <t>Nombre total de logements</t>
  </si>
  <si>
    <t>Champ : DEFM tenus de faire des actes positifs de recherche d'emploi, des catégories A, B ou C</t>
  </si>
  <si>
    <t>Loire-Atlantique</t>
  </si>
  <si>
    <t xml:space="preserve">     Maine et Loire</t>
  </si>
  <si>
    <t>Mayenne</t>
  </si>
  <si>
    <t>Sarthe</t>
  </si>
  <si>
    <t>Vendée</t>
  </si>
  <si>
    <t>Pays de 
la Loire</t>
  </si>
  <si>
    <t>France métropolitaine</t>
  </si>
  <si>
    <t>Total</t>
  </si>
  <si>
    <t>DEMANDEURS D'EMPLOI</t>
  </si>
  <si>
    <t>Loire -Atlantique</t>
  </si>
  <si>
    <t>Maine et Loire</t>
  </si>
  <si>
    <t>Pays de la Loire</t>
  </si>
  <si>
    <t>Superficie en km²</t>
  </si>
  <si>
    <t xml:space="preserve">    Maine et Loire</t>
  </si>
  <si>
    <t>France Métropolitaine</t>
  </si>
  <si>
    <t>Natalité/Mortalité/Fécondité</t>
  </si>
  <si>
    <t xml:space="preserve">en  ‰ </t>
  </si>
  <si>
    <t>Demandeurs de catégorie A</t>
  </si>
  <si>
    <t>TOTAL (catégories A,B ou C)</t>
  </si>
  <si>
    <t>Total des DE de longue durée (1)</t>
  </si>
  <si>
    <t>Allocation de Solidarité Spécifique (1)</t>
  </si>
  <si>
    <t>complémentaires</t>
  </si>
  <si>
    <t>Formations</t>
  </si>
  <si>
    <t xml:space="preserve">   Taux pour 1000 personnes de 20 à 64 ans</t>
  </si>
  <si>
    <t xml:space="preserve">   Taux pour 1000 personnes de 60 ans et plus</t>
  </si>
  <si>
    <t>PAUVRETE - CHOMAGE - EXCLUSION</t>
  </si>
  <si>
    <t>Pauvreté et précarité</t>
  </si>
  <si>
    <t>HANDICAP - DEPENDANCE</t>
  </si>
  <si>
    <t>Protection juridique des majeurs vulnérables</t>
  </si>
  <si>
    <t>LOGEMENT - HEBERGEMENT</t>
  </si>
  <si>
    <t>A la naissance pour les hommes</t>
  </si>
  <si>
    <t>A la naissance pour les femmes</t>
  </si>
  <si>
    <t>REPARTITION PAR AGE DE LA POPULATION</t>
  </si>
  <si>
    <t>Moins de 5 ans</t>
  </si>
  <si>
    <t>5-9 ans</t>
  </si>
  <si>
    <t>10-14 ans</t>
  </si>
  <si>
    <t>15-19 ans</t>
  </si>
  <si>
    <t>20-24 ans</t>
  </si>
  <si>
    <t>55-59 ans</t>
  </si>
  <si>
    <t>60-64 ans</t>
  </si>
  <si>
    <t>65-74 ans</t>
  </si>
  <si>
    <t>75-84 ans</t>
  </si>
  <si>
    <t>85 ans et plus</t>
  </si>
  <si>
    <t>ENSEMBLE</t>
  </si>
  <si>
    <t>Population de 75 ans et plus</t>
  </si>
  <si>
    <t>Population de 80 ans et plus</t>
  </si>
  <si>
    <t>Femmes de 15 à 49 ans</t>
  </si>
  <si>
    <t>STRUCTURE PAR AGE DE LA POPULATION</t>
  </si>
  <si>
    <t>HOMMES</t>
  </si>
  <si>
    <t>FEMMES</t>
  </si>
  <si>
    <t>PARC LOCATIF SOCIAL</t>
  </si>
  <si>
    <t>LA JEUNESSE EN PAYS DE LA LOIRE</t>
  </si>
  <si>
    <t>Accueil collectif</t>
  </si>
  <si>
    <t>Infirmiers de bloc opératoire</t>
  </si>
  <si>
    <t xml:space="preserve">Etablissements associatifs employeurs </t>
  </si>
  <si>
    <t>Etablissements employeurs par activité économique</t>
  </si>
  <si>
    <t>Champ : établissements associatifs ayant eu au moins un salarié dans l'année (hors intérimaires)</t>
  </si>
  <si>
    <t>Nb de salariés des établissements associatifs</t>
  </si>
  <si>
    <t xml:space="preserve"> (1)  Le RSA assure un minimum social (RSA socle) et un complément de revenu pour des travailleurs aux revenus modestes (RSA activité)</t>
  </si>
  <si>
    <t>d'activité salariée dans les dix ans précédent la rupture de contrat - Données semi-définitives</t>
  </si>
  <si>
    <t>PROTECTION DE L'ENFANCE</t>
  </si>
  <si>
    <t>TOTAL</t>
  </si>
  <si>
    <t>Dû au mouvement naturel</t>
  </si>
  <si>
    <t>Dû au mouvement migratoire</t>
  </si>
  <si>
    <t>Enfants de 6 à 16 ans</t>
  </si>
  <si>
    <t>En milliers d'euros</t>
  </si>
  <si>
    <t>DEPENSES D'AIDE SOCIALE - COMPETENCE DE L'ETAT</t>
  </si>
  <si>
    <t>POLITIQUE EN FAVEUR DE L'INCLUSION SOCIALE</t>
  </si>
  <si>
    <t>IMMIGRATION ET ASILE</t>
  </si>
  <si>
    <t>ACCUEIL EN FAVEUR DES FAMILLES VULNERABLES</t>
  </si>
  <si>
    <t>DEMANDE LOCATIVE SOCIALE</t>
  </si>
  <si>
    <t xml:space="preserve">   Demandes internes</t>
  </si>
  <si>
    <t>Niveaux II et I</t>
  </si>
  <si>
    <r>
      <t xml:space="preserve">STAPS </t>
    </r>
    <r>
      <rPr>
        <sz val="6"/>
        <color indexed="8"/>
        <rFont val="Calibri"/>
        <family val="2"/>
      </rPr>
      <t>Sciences et Techniques des Activités Physiques et Sportives</t>
    </r>
  </si>
  <si>
    <r>
      <t xml:space="preserve">DUT Carrière sociale </t>
    </r>
    <r>
      <rPr>
        <sz val="6"/>
        <color indexed="8"/>
        <rFont val="Calibri"/>
        <family val="2"/>
      </rPr>
      <t>option Animation sociale et socio-culturelle</t>
    </r>
  </si>
  <si>
    <t xml:space="preserve">      Part de la demande interne</t>
  </si>
  <si>
    <t xml:space="preserve">   Demandes externes </t>
  </si>
  <si>
    <t>RECOURS AU DROIT AU LOGEMENT OPPOSABLE (DALO)</t>
  </si>
  <si>
    <t>EQUIPEMENTS D'HEBERGEMENT SOCIAL</t>
  </si>
  <si>
    <t xml:space="preserve">   Demandes externes (1)</t>
  </si>
  <si>
    <t xml:space="preserve">   Demandes internes (2)</t>
  </si>
  <si>
    <t xml:space="preserve">   Dont logements vacants</t>
  </si>
  <si>
    <t xml:space="preserve">   RSA socle seul majoré</t>
  </si>
  <si>
    <t xml:space="preserve">   RSA socle + activité majoré</t>
  </si>
  <si>
    <t xml:space="preserve">   RSA socle seul non majoré</t>
  </si>
  <si>
    <t xml:space="preserve">   RSA socle + activité non majoré</t>
  </si>
  <si>
    <t>Nombre d'allocataires du RSA (1)</t>
  </si>
  <si>
    <t>Sources : DREES, CNAF, MSA</t>
  </si>
  <si>
    <t>ALLOCATAIRES DU REVENU DE SOLIDARITE ACTIVE (RSA)</t>
  </si>
  <si>
    <t>CADA Accueil Demandeurs d'Asile</t>
  </si>
  <si>
    <t>Centres d'accueil</t>
  </si>
  <si>
    <t>ACCUEIL DES ENFANTS D'AGE PRESCOLAIRE</t>
  </si>
  <si>
    <t>CépiDc</t>
  </si>
  <si>
    <t>Centre d'épidémiologie sur les causes médicales de décès, laboratoire de l'INSERM</t>
  </si>
  <si>
    <t>INSERM</t>
  </si>
  <si>
    <t>Autres secteurs d'activité</t>
  </si>
  <si>
    <t xml:space="preserve">   dont arts, spectacles</t>
  </si>
  <si>
    <r>
      <t>(4)</t>
    </r>
    <r>
      <rPr>
        <i/>
        <sz val="7"/>
        <color indexed="8"/>
        <rFont val="Calibri"/>
        <family val="2"/>
      </rPr>
      <t xml:space="preserve"> Nombre de logements sociaux pour 10 000 habitants</t>
    </r>
  </si>
  <si>
    <t>Taux d'équipement (4)</t>
  </si>
  <si>
    <t>dont urgence</t>
  </si>
  <si>
    <t>dont stabilisation</t>
  </si>
  <si>
    <t>dont insertion</t>
  </si>
  <si>
    <t>Entrées en contrat d'apprentissage (2)</t>
  </si>
  <si>
    <t>Jeunes entrés en CUI-CAE (3)</t>
  </si>
  <si>
    <t>Jeunes entrés en CUI-CIE (4)</t>
  </si>
  <si>
    <t>Institut National de la Statistique et des Etudes Economiques</t>
  </si>
  <si>
    <t>Fichier d'Identification National des Etablissements Sanitaires et Sociaux</t>
  </si>
  <si>
    <t>DGCS</t>
  </si>
  <si>
    <t>Direction Générale de la Cohésion Sociale</t>
  </si>
  <si>
    <t>CAF</t>
  </si>
  <si>
    <t>Caisse d'Allocations Familiales</t>
  </si>
  <si>
    <t>DJEPVA</t>
  </si>
  <si>
    <t>Direction de la Jeunesse, de l'Education Populaire et de la Vie Associative</t>
  </si>
  <si>
    <t>CNAF</t>
  </si>
  <si>
    <t>Caisse National des Allocations Familiales</t>
  </si>
  <si>
    <t>CREHA Ouest</t>
  </si>
  <si>
    <t>Centre Régional d'Etudes pour l'Habitat de l'Ouest</t>
  </si>
  <si>
    <t>OFDT</t>
  </si>
  <si>
    <t>Observatoire Français des Drogues et Toxicomanies</t>
  </si>
  <si>
    <t>MEOS</t>
  </si>
  <si>
    <t>RNA</t>
  </si>
  <si>
    <t>Répertoire National des Associations</t>
  </si>
  <si>
    <t>Clap</t>
  </si>
  <si>
    <t>téléphone : 02 40 12 87 08 - Télécopieur : 02 40 12 87 00</t>
  </si>
  <si>
    <r>
      <t>(3)</t>
    </r>
    <r>
      <rPr>
        <i/>
        <sz val="7"/>
        <color indexed="8"/>
        <rFont val="Calibri"/>
        <family val="2"/>
      </rPr>
      <t xml:space="preserve"> date d'entrée dans les lieux - date de dépôt de la demande, en nombre de mois</t>
    </r>
  </si>
  <si>
    <t>Connaissance locale de l'appareil productif (données INSEE)</t>
  </si>
  <si>
    <t>Autres services (2)</t>
  </si>
  <si>
    <t>(2) hors administration publique, enseignement, santé humaine, action sociale, commerce, transport, hébergement, restauration</t>
  </si>
  <si>
    <t>Autres services (1)</t>
  </si>
  <si>
    <t>(1) hors administration publique, enseignement, santé humaine, action sociale, commerce, transport, hébergement, restauration</t>
  </si>
  <si>
    <t xml:space="preserve">(2) Fonds de coopération de la jeunesse et de l’éducation populaire </t>
  </si>
  <si>
    <t>Accueil collectif de mineurs avec hébergement</t>
  </si>
  <si>
    <t>(2) Pour 1000 femmes de 15 à 49 ans</t>
  </si>
  <si>
    <t>(3) Nombre d'enfants qu'aurait une femme tout au long de sa vie, si les taux de fécondité demeuraient inchangés</t>
  </si>
  <si>
    <t>(4) Nombre de personnes de 65 ans et plus pour 100 personnes de moins de 20 ans</t>
  </si>
  <si>
    <t>Population totale des communes urbaines</t>
  </si>
  <si>
    <t>ENTREES au cours de l'année</t>
  </si>
  <si>
    <t>SORTIES au cours de l'année</t>
  </si>
  <si>
    <t xml:space="preserve">   Part parmi les 20-24 ans (%)</t>
  </si>
  <si>
    <t>(3) pour 1 000 jeunes-filles de 15 à 17 ans</t>
  </si>
  <si>
    <t xml:space="preserve">   RSA activité seule non majoré</t>
  </si>
  <si>
    <t xml:space="preserve">   RSA activité seule majoré</t>
  </si>
  <si>
    <t>Centres hébergement hors CHRS</t>
  </si>
  <si>
    <t xml:space="preserve">  Pôles France jeune</t>
  </si>
  <si>
    <r>
      <t xml:space="preserve">BE </t>
    </r>
    <r>
      <rPr>
        <sz val="6"/>
        <color indexed="8"/>
        <rFont val="Calibri"/>
        <family val="2"/>
      </rPr>
      <t>Alpinisme - guide de haute montagne</t>
    </r>
  </si>
  <si>
    <t>DIPLÔMES PROFESSIONNELS JEUNESSE ET SPORT</t>
  </si>
  <si>
    <t>DIPLÔMES PROFESSIONNELS EDUCATION NATIONALE</t>
  </si>
  <si>
    <t>Année 2013</t>
  </si>
  <si>
    <t xml:space="preserve">   Jardins d'enfants</t>
  </si>
  <si>
    <t xml:space="preserve">   Jardins d'éveil</t>
  </si>
  <si>
    <t>Accueil familial</t>
  </si>
  <si>
    <t xml:space="preserve">   Places</t>
  </si>
  <si>
    <t xml:space="preserve">   Enfants inscrits</t>
  </si>
  <si>
    <t xml:space="preserve">  Structures associées</t>
  </si>
  <si>
    <t>Pays de naissance des immigrés</t>
  </si>
  <si>
    <t>Part des femmes dans la population immigrée</t>
  </si>
  <si>
    <t>Nombre de personnes immigrées (1)</t>
  </si>
  <si>
    <t>IMMIGRATION ET ORIGINES</t>
  </si>
  <si>
    <t xml:space="preserve">   Portugal</t>
  </si>
  <si>
    <t xml:space="preserve">   Italie</t>
  </si>
  <si>
    <t xml:space="preserve">   Espagne</t>
  </si>
  <si>
    <t xml:space="preserve">   Autres pays de l'UE (à 27)</t>
  </si>
  <si>
    <t xml:space="preserve">   Autres pays d'Europe</t>
  </si>
  <si>
    <t xml:space="preserve">   Algérie</t>
  </si>
  <si>
    <t xml:space="preserve">   Maroc</t>
  </si>
  <si>
    <t xml:space="preserve">   Tunisie</t>
  </si>
  <si>
    <t xml:space="preserve">   Autres pays d'Afrique</t>
  </si>
  <si>
    <t xml:space="preserve">   Turquie</t>
  </si>
  <si>
    <t xml:space="preserve">   Autres pays</t>
  </si>
  <si>
    <t>Immigration et origines</t>
  </si>
  <si>
    <t>Logement accompagné</t>
  </si>
  <si>
    <t>Résidences sociales</t>
  </si>
  <si>
    <t>Foyers de jeunes travailleurs (3)</t>
  </si>
  <si>
    <t>Foyers de travailleurs migrants (3)</t>
  </si>
  <si>
    <r>
      <rPr>
        <b/>
        <i/>
        <sz val="7"/>
        <rFont val="Calibri"/>
        <family val="2"/>
      </rPr>
      <t>(3)</t>
    </r>
    <r>
      <rPr>
        <i/>
        <sz val="7"/>
        <rFont val="Calibri"/>
        <family val="2"/>
      </rPr>
      <t xml:space="preserve"> Non transformés en résidences sociales</t>
    </r>
  </si>
  <si>
    <t>Nombre de clubs affiliés (1)</t>
  </si>
  <si>
    <t xml:space="preserve">   Bénéficiaires PCH, ACTP ‰ ens. population</t>
  </si>
  <si>
    <t>dont :   Sites activ. aquatiques et nautiques</t>
  </si>
  <si>
    <t xml:space="preserve">             Boucles de randonnées</t>
  </si>
  <si>
    <t xml:space="preserve">             Sites de char à voile</t>
  </si>
  <si>
    <t>dont :   Terrains de grands jeux (football, rugby…)</t>
  </si>
  <si>
    <t xml:space="preserve">                   dont couverts</t>
  </si>
  <si>
    <t xml:space="preserve">            Tous bassins de natation </t>
  </si>
  <si>
    <t xml:space="preserve">                  dont bassins couverts de plus de 25m</t>
  </si>
  <si>
    <t xml:space="preserve">            Salles multisports</t>
  </si>
  <si>
    <t xml:space="preserve">            Salles d'arts martiaux (dojos)</t>
  </si>
  <si>
    <t xml:space="preserve">            Stades d'athlétisme</t>
  </si>
  <si>
    <t xml:space="preserve">            Plateaux multisports / citystades</t>
  </si>
  <si>
    <t xml:space="preserve">            Equipements équestres (manèges, carrières)</t>
  </si>
  <si>
    <t xml:space="preserve">                dont boules traditionnelles</t>
  </si>
  <si>
    <t xml:space="preserve">           Parcours de golf (18 trous)</t>
  </si>
  <si>
    <t xml:space="preserve">           Skate park et anneaux de roller</t>
  </si>
  <si>
    <t>PLS (Prêt Locatif Social) hors taxe foncière</t>
  </si>
  <si>
    <t xml:space="preserve"> Solidarité aux Personnes Agées (ASPA)</t>
  </si>
  <si>
    <t>Titres par équivalence</t>
  </si>
  <si>
    <t>Titres par VAE seule</t>
  </si>
  <si>
    <t>Titres par diplôme européen</t>
  </si>
  <si>
    <t>Titres par formation (*)</t>
  </si>
  <si>
    <t>POUR EN SAVOIR PLUS</t>
  </si>
  <si>
    <t>Des outils en ligne sont à votre disposition</t>
  </si>
  <si>
    <r>
      <rPr>
        <b/>
        <sz val="10"/>
        <color indexed="8"/>
        <rFont val="Calibri"/>
        <family val="2"/>
      </rPr>
      <t xml:space="preserve">FINESS - </t>
    </r>
    <r>
      <rPr>
        <i/>
        <sz val="10"/>
        <color indexed="8"/>
        <rFont val="Calibri"/>
        <family val="2"/>
      </rPr>
      <t>Fichier National des Etablissements Sanitaires et Sociaux</t>
    </r>
  </si>
  <si>
    <t>Pour rechercher les coordonnées d'établissements sanitaires ou sociaux</t>
  </si>
  <si>
    <t>http://finess.sante.gouv.fr</t>
  </si>
  <si>
    <r>
      <rPr>
        <b/>
        <sz val="10"/>
        <color indexed="8"/>
        <rFont val="Calibri"/>
        <family val="2"/>
      </rPr>
      <t>RES</t>
    </r>
    <r>
      <rPr>
        <i/>
        <sz val="10"/>
        <color indexed="8"/>
        <rFont val="Calibri"/>
        <family val="2"/>
      </rPr>
      <t xml:space="preserve"> - Recensement des équipements sportifs</t>
    </r>
  </si>
  <si>
    <t>http://www.res.sports.gouv.fr</t>
  </si>
  <si>
    <t>Pour rechercher des équipements sportifs à partir de critères comme</t>
  </si>
  <si>
    <t xml:space="preserve"> la localisation géographique, le type d'équipement…</t>
  </si>
  <si>
    <r>
      <t xml:space="preserve">(*) </t>
    </r>
    <r>
      <rPr>
        <i/>
        <sz val="7"/>
        <color indexed="8"/>
        <rFont val="Calibri"/>
        <family val="2"/>
      </rPr>
      <t>diplômes déclarés par les établissements de formation, comprenant les validations pour acquis d'expérience (VAE) partielles</t>
    </r>
  </si>
  <si>
    <t>Taux pour 1 000 personnes de 25 à 64 ans</t>
  </si>
  <si>
    <t>Taux de population couverte (en ‰)</t>
  </si>
  <si>
    <r>
      <t>(2)</t>
    </r>
    <r>
      <rPr>
        <i/>
        <sz val="7"/>
        <color indexed="8"/>
        <rFont val="Calibri"/>
        <family val="2"/>
      </rPr>
      <t xml:space="preserve"> Nombre de places en hébergement (CHRS et hors CHRS) pour 1000 personnes de 20 à 59 ans</t>
    </r>
  </si>
  <si>
    <t xml:space="preserve">   dont accidents de circulation</t>
  </si>
  <si>
    <t xml:space="preserve">   dont suicides</t>
  </si>
  <si>
    <t>(2) Ensemble des apprentis sous tutelle de l'Éducation nationale ou de l'Agriculture</t>
  </si>
  <si>
    <t xml:space="preserve">% élèves ayant 2 ans ou + retard </t>
  </si>
  <si>
    <t>Champ : Emploi salarié en effectif qui comprend les salariés de tous les établissements du secteur privé industriel et commercial employant au moins une personne sous contrat de travail (champ de l'Assurance chômage)</t>
  </si>
  <si>
    <t>DIPLOMES DELIVRES dans le CHAMP des FORMATIONS SOCIALES</t>
  </si>
  <si>
    <t>Titres délivrés dans le champ des formations sanitaires</t>
  </si>
  <si>
    <t>TITRES DELIVRES dans le CHAMP des FORMATIONS SANITAIRES</t>
  </si>
  <si>
    <t>en années</t>
  </si>
  <si>
    <t>en %</t>
  </si>
  <si>
    <t>Taux de chômage (1)</t>
  </si>
  <si>
    <t>Cnamts</t>
  </si>
  <si>
    <t>FINESS</t>
  </si>
  <si>
    <t>Année 2014</t>
  </si>
  <si>
    <t>19 Boulevard Paixhans – CS 51912 – 72019 LE MANS Cedex 2</t>
  </si>
  <si>
    <r>
      <t xml:space="preserve">02.72.16.43.00 / </t>
    </r>
    <r>
      <rPr>
        <u/>
        <sz val="7"/>
        <color indexed="8"/>
        <rFont val="Calibri"/>
        <family val="2"/>
      </rPr>
      <t>ddcs@sarthe.gouv.fr</t>
    </r>
  </si>
  <si>
    <t>Part de la population vivant dans les</t>
  </si>
  <si>
    <t xml:space="preserve">   Dont résidences secondaires (1)</t>
  </si>
  <si>
    <t xml:space="preserve">   dont urgence</t>
  </si>
  <si>
    <t xml:space="preserve">   dont stabilisation</t>
  </si>
  <si>
    <t xml:space="preserve">   dont insertion</t>
  </si>
  <si>
    <t>Nombre de recours en vue d'un hébergement</t>
  </si>
  <si>
    <t>jeunes filles 15 à 19 ans au chômage</t>
  </si>
  <si>
    <t>jeunes hommes 15 à 19 ans au chômage</t>
  </si>
  <si>
    <t>jeunes filles 20 à 24 ans au chômage</t>
  </si>
  <si>
    <t>jeunes hommes 20 à 24 ans au chômage</t>
  </si>
  <si>
    <t>Missions locales et PAIO</t>
  </si>
  <si>
    <t>Nombre de bénéficiaires du FAJ</t>
  </si>
  <si>
    <t>Jeunes de 16 à 25 ans entrés en Service Civique</t>
  </si>
  <si>
    <t>Nombre d'aides individuelles attribuées (2)</t>
  </si>
  <si>
    <r>
      <rPr>
        <b/>
        <i/>
        <sz val="7"/>
        <rFont val="Calibri"/>
        <family val="2"/>
      </rPr>
      <t>(1)</t>
    </r>
    <r>
      <rPr>
        <i/>
        <sz val="7"/>
        <rFont val="Calibri"/>
        <family val="2"/>
      </rPr>
      <t xml:space="preserve"> Service Volontaire Européen</t>
    </r>
  </si>
  <si>
    <r>
      <rPr>
        <b/>
        <i/>
        <sz val="7"/>
        <color indexed="8"/>
        <rFont val="Calibri"/>
        <family val="2"/>
      </rPr>
      <t>(2)</t>
    </r>
    <r>
      <rPr>
        <i/>
        <sz val="7"/>
        <color indexed="8"/>
        <rFont val="Calibri"/>
        <family val="2"/>
      </rPr>
      <t xml:space="preserve"> Le nombre d'aides attribuées dans l'année est différent du nombre de jeunes aidés ; un jeune peut avoir bénéficié de plusieurs aides au cours de la même année</t>
    </r>
  </si>
  <si>
    <t>ACCUEILS COLLECTIFS DE MINEURS SANS HEBERGEMENT</t>
  </si>
  <si>
    <t>Nombre de placements directs par un juge</t>
  </si>
  <si>
    <t>Nombre d'actions éducatives à domicile (AED)</t>
  </si>
  <si>
    <t>Nombre d'actions éducatives en milieu ouvert (AEMO)</t>
  </si>
  <si>
    <t>Nombre d'enfants confiés à l'ASE</t>
  </si>
  <si>
    <t xml:space="preserve">Nombre de pôles sportifs labellisés </t>
  </si>
  <si>
    <t>Sages-femmes</t>
  </si>
  <si>
    <t>DEMM : Diplôme d'Etat des Métiers de la Montagne</t>
  </si>
  <si>
    <t xml:space="preserve">   Lieux de vie et d'accueil, villages d'enfants</t>
  </si>
  <si>
    <t>Taux d'équipement en lits et places (1)</t>
  </si>
  <si>
    <t>(1) Pour 1000 jeunes de moins de 20 ans</t>
  </si>
  <si>
    <t xml:space="preserve">    Part des licences féminines (en %) (3)</t>
  </si>
  <si>
    <r>
      <rPr>
        <b/>
        <i/>
        <sz val="7"/>
        <color indexed="8"/>
        <rFont val="Calibri"/>
        <family val="2"/>
      </rPr>
      <t>(3)</t>
    </r>
    <r>
      <rPr>
        <i/>
        <sz val="7"/>
        <color indexed="8"/>
        <rFont val="Calibri"/>
        <family val="2"/>
      </rPr>
      <t xml:space="preserve"> parmi l'ensemble des licences des fédérations multisports</t>
    </r>
  </si>
  <si>
    <r>
      <t xml:space="preserve">DEMM </t>
    </r>
    <r>
      <rPr>
        <sz val="6"/>
        <color indexed="8"/>
        <rFont val="Calibri"/>
        <family val="2"/>
      </rPr>
      <t>Moniteur national de ski alpin</t>
    </r>
  </si>
  <si>
    <t>Jeunes ligériens volontaires en SVE (1)</t>
  </si>
  <si>
    <t>Jeunes européens volontaires en SVE accueillis (1)</t>
  </si>
  <si>
    <t>Téléphériques et remontées mécaniques</t>
  </si>
  <si>
    <t>A 65 ans pour les hommes</t>
  </si>
  <si>
    <t>A 65 ans pour les femmes</t>
  </si>
  <si>
    <t>(2) L’allocataire, son conjoint, les enfants et autres personnes à charge au sens des prestations familiales, hors RSA jeunes</t>
  </si>
  <si>
    <t>RSA jeunes socle</t>
  </si>
  <si>
    <t>RSA jeunes activité seul</t>
  </si>
  <si>
    <t>Population couverte par le RSA jeunes</t>
  </si>
  <si>
    <t>IMMIGRES selon le SEXE, l'AGE, le LIEU DE NAISSANCE et le DIPLÔME</t>
  </si>
  <si>
    <t>HOMMES de 15 ans ou plus</t>
  </si>
  <si>
    <t>Origine</t>
  </si>
  <si>
    <t>Etudes supérieures</t>
  </si>
  <si>
    <t>Total
Pays de la Loire</t>
  </si>
  <si>
    <t>15-24 ans</t>
  </si>
  <si>
    <t>UE</t>
  </si>
  <si>
    <t>hors UE</t>
  </si>
  <si>
    <t>Plus de 54 ans</t>
  </si>
  <si>
    <t>FEMMES de 15 ans ou plus</t>
  </si>
  <si>
    <t>COMPARAISON des POPULATIONS IMMIGREES et NON IMMIGREES</t>
  </si>
  <si>
    <t>ACTIFS IMMIGRES et NON IMMIGRES selon le SEXE et l'AGE</t>
  </si>
  <si>
    <t>Population active occupée</t>
  </si>
  <si>
    <t>Chômeurs</t>
  </si>
  <si>
    <t>25-39 ans</t>
  </si>
  <si>
    <t>40-64 ans</t>
  </si>
  <si>
    <t>65 ans et plus</t>
  </si>
  <si>
    <t>Hors UE</t>
  </si>
  <si>
    <t>Hommes</t>
  </si>
  <si>
    <t>Femmes</t>
  </si>
  <si>
    <t>Immigrés</t>
  </si>
  <si>
    <t>Non immigrés</t>
  </si>
  <si>
    <t>IMMIGRES PRIMO-ARRIVANTS</t>
  </si>
  <si>
    <t>Définition : immigrés arrivés en France depuis moins de 5 ans</t>
  </si>
  <si>
    <t>(1) Taux de chômage au sens du recensement de la population</t>
  </si>
  <si>
    <t>POLITIQUES PUBLIQUES DE COHESION SOCIALE POUR LA JEUNESSE</t>
  </si>
  <si>
    <t xml:space="preserve">   Dépendance à plus de 75 %</t>
  </si>
  <si>
    <t xml:space="preserve">   Dépendance à plus de 50 %</t>
  </si>
  <si>
    <t>Dossiers de surendettement</t>
  </si>
  <si>
    <t xml:space="preserve">   Part des dossiers jugés recevables</t>
  </si>
  <si>
    <t xml:space="preserve">   Propriétaires</t>
  </si>
  <si>
    <t xml:space="preserve">   Locataires</t>
  </si>
  <si>
    <t xml:space="preserve">      Dont d'un logement HLM loué vide</t>
  </si>
  <si>
    <t xml:space="preserve">   Logés gratuitement</t>
  </si>
  <si>
    <t xml:space="preserve">   Expulsions fermes</t>
  </si>
  <si>
    <t xml:space="preserve">   Expulsions conditionnelles</t>
  </si>
  <si>
    <t>Politiques publiques de cohésion sociale pour la jeunesse</t>
  </si>
  <si>
    <t>Accueils collectifs de mineurs sans hébergement</t>
  </si>
  <si>
    <t>Immigrés selon le sexe, l'âge, le lieu de naissance et le diplôme</t>
  </si>
  <si>
    <t>Comparaison des populations immigrées et non immigrées</t>
  </si>
  <si>
    <t>Actifs immigrés et non immigrés selon le sexe et l'âge</t>
  </si>
  <si>
    <t>Immigrés primo-arrivants</t>
  </si>
  <si>
    <t>Activité des jeunes de 15 à 24 ans</t>
  </si>
  <si>
    <t xml:space="preserve">   Tabac quotidien (1)</t>
  </si>
  <si>
    <t xml:space="preserve">   Alcool régulier (2)</t>
  </si>
  <si>
    <t xml:space="preserve">   Cannabis régulier (2)</t>
  </si>
  <si>
    <t>Aides soignants</t>
  </si>
  <si>
    <t>Auxiliaires de puériculture</t>
  </si>
  <si>
    <t>Ambulanciers</t>
  </si>
  <si>
    <t xml:space="preserve">   dont enseignement</t>
  </si>
  <si>
    <t xml:space="preserve">   dont santé </t>
  </si>
  <si>
    <t xml:space="preserve">   dont action sociale</t>
  </si>
  <si>
    <t xml:space="preserve">   dont activités sportives et de loisirs</t>
  </si>
  <si>
    <t>santé humaine et action sociale</t>
  </si>
  <si>
    <t>Ce panorama statistique est consultable sur le site internet de la DRDJSCS des Pays de la Loire</t>
  </si>
  <si>
    <t>www.pays-de-la-loire.drdjscs.gouv.fr</t>
  </si>
  <si>
    <t>adresse mel : drjscs44@drjscs.gouv.fr  - Site internet : www.pays-de-la-loire.drdjscs.gouv.fr</t>
  </si>
  <si>
    <t>Sources : DRDJSCS, DDCS(PP)</t>
  </si>
  <si>
    <t>Sources : DRDJSCS, DGCS</t>
  </si>
  <si>
    <t>Année 2015</t>
  </si>
  <si>
    <t>Sources : Insee (Clap), DRDJSCS</t>
  </si>
  <si>
    <t>Sources : Pôle Emploi, fichier national des ASSEDICS, DREES, CNAMTS, CCMSA, RSI</t>
  </si>
  <si>
    <t xml:space="preserve">   Bénéficiaires de la CMU complémentaire</t>
  </si>
  <si>
    <t>en 2014</t>
  </si>
  <si>
    <t>Jeunes entrés en contrat de professionnalisation</t>
  </si>
  <si>
    <t>Source : Drees, Conseils Départementaux, IRCEM</t>
  </si>
  <si>
    <t>Nb de licences sportives délivrées (2)</t>
  </si>
  <si>
    <t xml:space="preserve">    dont fédération du sport adapté</t>
  </si>
  <si>
    <t xml:space="preserve">    dont fédération handisport</t>
  </si>
  <si>
    <t>et structures associées</t>
  </si>
  <si>
    <t>au 31 décembre 2014</t>
  </si>
  <si>
    <t>Source : Base de données Séquoia de l'ACOSS et des URSSAF</t>
  </si>
  <si>
    <t>Source : RNA, DRDJSCS</t>
  </si>
  <si>
    <t>Source : Insee - Clap (associations employeuses)</t>
  </si>
  <si>
    <t xml:space="preserve">    dont activités sportives et de loisirs</t>
  </si>
  <si>
    <t xml:space="preserve">    dont arts, spectacles</t>
  </si>
  <si>
    <t>CGET</t>
  </si>
  <si>
    <t>CNAV</t>
  </si>
  <si>
    <t>CCMSA</t>
  </si>
  <si>
    <t>DGFIP</t>
  </si>
  <si>
    <t>ACOSS</t>
  </si>
  <si>
    <t>RSI</t>
  </si>
  <si>
    <t>Sources : DREAL, Créha Ouest</t>
  </si>
  <si>
    <t>Source : Académie, MENESR/DEPP, Insee (recensement), DSN, Conseil régional des Pays de la Loire</t>
  </si>
  <si>
    <t>Agence centrale des organismes de sécurité sociale</t>
  </si>
  <si>
    <t>Caisse centrale de la mutualité sociale agricole</t>
  </si>
  <si>
    <t>Commissariat général à l'égalité des territoires</t>
  </si>
  <si>
    <t>Caisse national d'assurance vieillesse</t>
  </si>
  <si>
    <t>Direction générale des finances publiques</t>
  </si>
  <si>
    <t>Régime social des indépendants</t>
  </si>
  <si>
    <t>Vous pouvez également consulter la publication nationale du Panorama Statistique détaillant</t>
  </si>
  <si>
    <t>chaque région sur le site de la Direction de la Recherche, des Etudes, de l'Evaluation</t>
  </si>
  <si>
    <t xml:space="preserve"> et des Statistiques (DREES)</t>
  </si>
  <si>
    <r>
      <t>DRDJSCS des Pays de la Loire et de la Loire-Atlantique</t>
    </r>
    <r>
      <rPr>
        <sz val="10"/>
        <rFont val="Calibri"/>
        <family val="2"/>
      </rPr>
      <t xml:space="preserve"> :</t>
    </r>
  </si>
  <si>
    <t>Man -  9 rue René Viviani - CS 46205 - 44262 NANTES Cedex 2</t>
  </si>
  <si>
    <t xml:space="preserve">   des ménages dont le référent fiscal a moins de 30 ans</t>
  </si>
  <si>
    <t xml:space="preserve">   des ménages dont le référent fiscal a 75 ans ou plus</t>
  </si>
  <si>
    <t xml:space="preserve">   Foyers bénéficiaires de l'AEEH (1)</t>
  </si>
  <si>
    <t>Décisions d'expulsions locatives</t>
  </si>
  <si>
    <t xml:space="preserve">   Décisions d'expulsions locatives (1)</t>
  </si>
  <si>
    <t>(1) Pour 1 000 ménages</t>
  </si>
  <si>
    <t>Dettes relatives  à des impayés d'énergie dans les dossiers de surendettement</t>
  </si>
  <si>
    <t xml:space="preserve">   Part des dossiers avec impayés d'énergie</t>
  </si>
  <si>
    <t xml:space="preserve">   Part des dettes liées à des impayés d'énergie</t>
  </si>
  <si>
    <t>Surendettement et expulsions</t>
  </si>
  <si>
    <t>PARC DES LOGEMENTS et STATUTS D'OCCUPATION</t>
  </si>
  <si>
    <t>Parc des logements et statuts d’occupation</t>
  </si>
  <si>
    <t>grandes aires urbaines (1)</t>
  </si>
  <si>
    <r>
      <t>1 unité de consommation (UC) pour le 1</t>
    </r>
    <r>
      <rPr>
        <i/>
        <vertAlign val="superscript"/>
        <sz val="7"/>
        <rFont val="Calibri"/>
        <family val="2"/>
      </rPr>
      <t>er</t>
    </r>
    <r>
      <rPr>
        <i/>
        <sz val="7"/>
        <rFont val="Calibri"/>
        <family val="2"/>
      </rPr>
      <t xml:space="preserve"> adulte, 0,5 pour les autres personnes de 14 ans ou plus, et 0,3 UC par enfant de moins de 14 ans</t>
    </r>
  </si>
  <si>
    <t xml:space="preserve">   Part des revenus d'activité ou de chômage</t>
  </si>
  <si>
    <t xml:space="preserve">   Part de l'ensemble des prestations sociales</t>
  </si>
  <si>
    <t xml:space="preserve">   Part des impôts</t>
  </si>
  <si>
    <t>Composition du revenu disponible de l'ensemble de la population par UC (en %)</t>
  </si>
  <si>
    <t>Composition du revenu disponible  des 10 % les plus pauvres par UC (en %)</t>
  </si>
  <si>
    <t>SURENDETTEMENT ET EXPULSIONS</t>
  </si>
  <si>
    <t>Séjours de vacances (séjours non spécifiques d'au moins cinq jours)</t>
  </si>
  <si>
    <t>Ensemble des séjours</t>
  </si>
  <si>
    <t>(1) Les séjours comptabilisés sont ceux organisés hors du temps scolaire. Par ailleurs, les séjours dans une famille et les séjours organisés dans le cadre des accueils de scoutisme ne font pas partie du champ</t>
  </si>
  <si>
    <t>ACCUEILS COLLECTIFS DE MINEURS AVEC HEBERGEMENT (1)</t>
  </si>
  <si>
    <t xml:space="preserve">   Taux pour 100 personnes de 75 ans et plus</t>
  </si>
  <si>
    <t>Source : DRDJSCS (Finess), DREES</t>
  </si>
  <si>
    <t>Le directeur régional et départemental de la jeunesse, des sports et de la cohésion sociale</t>
  </si>
  <si>
    <t>des Pays de la Loire et de la Loire-Atlantique a le plaisir de vous adresser le</t>
  </si>
  <si>
    <t>DRDJSCS - Direction Départementale Déléguée de Loire Atlantique</t>
  </si>
  <si>
    <t xml:space="preserve">   Dossiers avec impayés d'énergie</t>
  </si>
  <si>
    <t xml:space="preserve">   Hébergement personnes âgées et handicapées</t>
  </si>
  <si>
    <t>France Métropolitaine + DOM</t>
  </si>
  <si>
    <t xml:space="preserve">   Taux pour 100 ménages avec enfants - de 25 ans</t>
  </si>
  <si>
    <t>nd : non disponible</t>
  </si>
  <si>
    <t>Par
VAE</t>
  </si>
  <si>
    <t>Par
Formation</t>
  </si>
  <si>
    <t>France métro.</t>
  </si>
  <si>
    <t>Nombre de communes au 1/1/2016</t>
  </si>
  <si>
    <t>Densité au 1/1/2015 (hab./km²)</t>
  </si>
  <si>
    <t>Part des familles monoparentales en 2013</t>
  </si>
  <si>
    <t>Taux de Natalité 2014</t>
  </si>
  <si>
    <t>Taux de Mortalité 2014</t>
  </si>
  <si>
    <t>Taux de Mortalité infantile 2014 (1)</t>
  </si>
  <si>
    <t>(1) Rapport entre le nombre de décès d'enfants de moins d'un an et le nombre d'enfants nés vivants en 2012, 2013, 2014</t>
  </si>
  <si>
    <t>Taux de Fécondité 2014 (2)</t>
  </si>
  <si>
    <t xml:space="preserve">Indice conjoncturel de Fécondité 2014 (3) </t>
  </si>
  <si>
    <t>Espérance de vie en 2014</t>
  </si>
  <si>
    <t>Indice de vieillissement au 1/1/2015 (4)</t>
  </si>
  <si>
    <t>Taux de variation annuel moyen (2008-2013)</t>
  </si>
  <si>
    <t>Effectifs par classe d'âge au 1er janvier 2015</t>
  </si>
  <si>
    <t>Source : INSEE, Estimations de population au 1er janvier. Résultats provisoires arrêtés fin 2015</t>
  </si>
  <si>
    <t>Pourcentages  par classe d'âge au 1er janvier 2015</t>
  </si>
  <si>
    <t>REVENUS ET INEGALITES DE REVENUS</t>
  </si>
  <si>
    <t xml:space="preserve">Revenu disponible par UC (1) </t>
  </si>
  <si>
    <t xml:space="preserve">(1) Somme de tous les revenus du ménage : revenus d'activité, du patrimoine, les transferts en provenance d'autres ménages et les prestations sociales, nets des impôts directs. 
</t>
  </si>
  <si>
    <t xml:space="preserve">   Disparité des revenus (2)</t>
  </si>
  <si>
    <t>(2) Rapport interdécile (D9/D1) entre le revenu minimal des 10 % de ménages les plus riches et le revenu maximal des 10 % les plus pauvres</t>
  </si>
  <si>
    <t xml:space="preserve">   Part des autres revenus (3)</t>
  </si>
  <si>
    <t>(3) Part des pensions, retraites, rentes et revenus du patrimoine</t>
  </si>
  <si>
    <t>Intensité de la pauvreté monétaire (2)</t>
  </si>
  <si>
    <t>(2) Ecart relatif entre le niveau de vie médian de la population pauvre et le seuil de pauvreté. Plus cet indicateur est élevé, plus le niveau de vie des plus pauvres est bas</t>
  </si>
  <si>
    <t>Taux de pauvreté monétaire en 2013 (1)</t>
  </si>
  <si>
    <t>Part des minimas sociaux dans le revenu des ménages bénéficiaires au 31/12/2014</t>
  </si>
  <si>
    <t>Allocataires minimas sociaux en 2014</t>
  </si>
  <si>
    <t>(1) Proportion de ménages dont le niveau de vie est inférieur au seuil de pauvreté (fixé à 60 % du niveau de vie médian de la population, soit 1 000 € par mois en 2013)</t>
  </si>
  <si>
    <t>Sources : INSEE - DGFIP - CNAF - CNAV - CCMSA,  Fichier localisé social et fiscal (FiLoSoFi),  Cnamts, CNAF, MSA, DREES, Unédic, FSV, CNAV, CDC</t>
  </si>
  <si>
    <t xml:space="preserve">   Dossiers déposés en 2014</t>
  </si>
  <si>
    <t xml:space="preserve">   Evolution annuelle moyenne 2008 à 2014</t>
  </si>
  <si>
    <t>Sources :  Ministère de la justice/SG/SDSE, Répertoire général civil 2014, INSEE RP 2013, Banque de France, enquête typologique 2014</t>
  </si>
  <si>
    <t>Taux de chômage (4ème trimestre 2015)</t>
  </si>
  <si>
    <t xml:space="preserve"> Evolution nb de chômeurs 2014-2015 (1)</t>
  </si>
  <si>
    <t>nb defm A B C 31 dec 2014</t>
  </si>
  <si>
    <t>Tx de chômage des hommes - 01/01/13</t>
  </si>
  <si>
    <t>Tx de chômage des femmes - 01/01/13</t>
  </si>
  <si>
    <t>Effectifs au 31 décembre 2015</t>
  </si>
  <si>
    <t>Demandeurs (A, B, C) de 1 à 2 ans</t>
  </si>
  <si>
    <t>Demandeurs (A, B, C) de 3 ans et plus</t>
  </si>
  <si>
    <t>Au 31 décembre 2015</t>
  </si>
  <si>
    <t>Demandeurs d'emploi  de catégorie A, B, C en 2015</t>
  </si>
  <si>
    <t>Nombre d'allocataires au 31 décembre 2015</t>
  </si>
  <si>
    <t>Couverture Maladie Universelle Complémentaire - moyenne annuelle 2015</t>
  </si>
  <si>
    <t>Effectifs et dispositifs pour l'année scolaire 2015-2016</t>
  </si>
  <si>
    <t>au 31/12/2015</t>
  </si>
  <si>
    <t xml:space="preserve">   l'ACTP (3) au 31/12/2014</t>
  </si>
  <si>
    <t>Bénéficiaires au 31/12/2015</t>
  </si>
  <si>
    <t>Données au 1er janvier 2013</t>
  </si>
  <si>
    <t>Source : INSEE (RP 2013, exploitations principale et complémentaire)</t>
  </si>
  <si>
    <t>En 2015</t>
  </si>
  <si>
    <t>Nb de logements sociaux (1) au 01/01/2015</t>
  </si>
  <si>
    <t>Année 2016</t>
  </si>
  <si>
    <t>Nombre de places au 1er janvier 2016</t>
  </si>
  <si>
    <t xml:space="preserve">  Tx de sortie vers logement accompagné (2015) (1)</t>
  </si>
  <si>
    <t xml:space="preserve">  Tx de sortie vers logement autonome (2015) (1)</t>
  </si>
  <si>
    <t>Effectifs par sexe et âge au 1er janvier 2015</t>
  </si>
  <si>
    <t>1er janvier 2013</t>
  </si>
  <si>
    <t>Associations créées en 2016 (1)</t>
  </si>
  <si>
    <t>Associations créées en 2015 (2)</t>
  </si>
  <si>
    <t>Associations créées en 2016 par nature</t>
  </si>
  <si>
    <t>(1) pour la France métropolitaine : donnée septembre 2015 – août 2016, source Recherches &amp; Solidarités</t>
  </si>
  <si>
    <t>(2) pour la France métropolitaine : donnée septembre 2014 – août 2015, source Recherches &amp; Solidarités</t>
  </si>
  <si>
    <t>s</t>
  </si>
  <si>
    <t>Sources : INSEE RP 2013 exploitation principale</t>
  </si>
  <si>
    <t>Taux d'IVG chez les mineures 2015 (‰) (3)</t>
  </si>
  <si>
    <t>Source : Inserm CepiDc, DREES SAE PMSI, OFDT Enquête Escapad 2014</t>
  </si>
  <si>
    <t>Décès de jeunes 15-24 ans (cumul 2011-2012-2013)</t>
  </si>
  <si>
    <t>ou grosses difficultés en lecture en 2015</t>
  </si>
  <si>
    <t>Diplômés et non diplômés en 2013</t>
  </si>
  <si>
    <t>Données 2013 et 2015</t>
  </si>
  <si>
    <t>en 3ème en 2015/2016</t>
  </si>
  <si>
    <t>Insertion professionnelle des jeunes de moins de 26 ans en 2015</t>
  </si>
  <si>
    <t>Au 1er janvier 2013</t>
  </si>
  <si>
    <t>Source : INSEE (RP 2013)</t>
  </si>
  <si>
    <r>
      <rPr>
        <b/>
        <i/>
        <sz val="7"/>
        <color indexed="8"/>
        <rFont val="Calibri"/>
        <family val="2"/>
      </rPr>
      <t>(3)</t>
    </r>
    <r>
      <rPr>
        <i/>
        <sz val="7"/>
        <color indexed="8"/>
        <rFont val="Calibri"/>
        <family val="2"/>
      </rPr>
      <t xml:space="preserve"> Données provisoires à fin décembre 2015</t>
    </r>
  </si>
  <si>
    <r>
      <rPr>
        <b/>
        <i/>
        <sz val="7"/>
        <color indexed="8"/>
        <rFont val="Calibri"/>
        <family val="2"/>
      </rPr>
      <t>(4</t>
    </r>
    <r>
      <rPr>
        <i/>
        <sz val="7"/>
        <color indexed="8"/>
        <rFont val="Calibri"/>
        <family val="2"/>
      </rPr>
      <t>) Pour 100 jeunes de 16 à 25 ans</t>
    </r>
  </si>
  <si>
    <r>
      <rPr>
        <b/>
        <i/>
        <sz val="7"/>
        <color indexed="8"/>
        <rFont val="Calibri"/>
        <family val="2"/>
      </rPr>
      <t>(5</t>
    </r>
    <r>
      <rPr>
        <i/>
        <sz val="7"/>
        <color indexed="8"/>
        <rFont val="Calibri"/>
        <family val="2"/>
      </rPr>
      <t>) Jeunes de 18 à 24 ans  ayant eu une activité professionnelle pendant au moins deux ans à temps plein au cours des trois années précédant la demande</t>
    </r>
  </si>
  <si>
    <t>Part de jeunes accueillis pour la première fois (4)</t>
  </si>
  <si>
    <t>Nombre de jeunes en premier accueil (3)</t>
  </si>
  <si>
    <t>Fonds d'Aide aux Jeunes (FAJ)</t>
  </si>
  <si>
    <t>RSA Jeunes au 31 décembre (5)</t>
  </si>
  <si>
    <t>Nombre  de places agréées par la PMI au 1er janvier 2015</t>
  </si>
  <si>
    <t>Salariés employés par des particuliers (2ème trimestre 2014)</t>
  </si>
  <si>
    <t>Lits et places installés au 1er janvier 2016 - Mesures au 1er janvier 2015</t>
  </si>
  <si>
    <t>Etablissements d'aide sociale à l'enfance au 01/01/2016</t>
  </si>
  <si>
    <t>Source : INSEE RP 2013 exploitation principale</t>
  </si>
  <si>
    <t>Licences et clubs des fédérations sportives agréés en 2015</t>
  </si>
  <si>
    <r>
      <t xml:space="preserve">(2) </t>
    </r>
    <r>
      <rPr>
        <i/>
        <sz val="7"/>
        <rFont val="Calibri"/>
        <family val="2"/>
      </rPr>
      <t>Données de l'année 2015 estimées au 6 novembre 2016</t>
    </r>
  </si>
  <si>
    <t>Répartition par diplôme en 2013</t>
  </si>
  <si>
    <t>Conseillers techniques sportifs au 01/09/16</t>
  </si>
  <si>
    <t>Situation en novembre 2016</t>
  </si>
  <si>
    <t>Situation en juin 2017</t>
  </si>
  <si>
    <t>au 31 décembre 2015</t>
  </si>
  <si>
    <t>Diplômes professionnels et non professionnels (y compris VAE). Année 2015</t>
  </si>
  <si>
    <t>Sources : DREES - DRDJSCS Enquête écoles de formation 2015 - DGCS</t>
  </si>
  <si>
    <t>SCOLARISATION DES ELEVES EN SITUATION DE HANDICAP</t>
  </si>
  <si>
    <t>Scolarisation des élèves en situation de handicap</t>
  </si>
  <si>
    <t xml:space="preserve">   En milieu ordinaire</t>
  </si>
  <si>
    <t xml:space="preserve">      dont 1er Degré</t>
  </si>
  <si>
    <t xml:space="preserve">      dont 2nd Degré</t>
  </si>
  <si>
    <t xml:space="preserve">   En établissements spécialisés</t>
  </si>
  <si>
    <t>Dispositifs d'accompagnement assuré par un auxiliaire de vie scolaire</t>
  </si>
  <si>
    <t xml:space="preserve">   Individuel (temps plein ou non)</t>
  </si>
  <si>
    <t xml:space="preserve">   Collectif</t>
  </si>
  <si>
    <t>Sources : INSEE - DGFIP - CNAF - CNAV - CCMSA,  Fichier localisé social et fiscal (FiLoSoFi)</t>
  </si>
  <si>
    <t>(1) Evolution du nombre de demandeurs d'emploi de catégories A, B ou C entre fin déc 2014 et fin déc 2015</t>
  </si>
  <si>
    <t>Sources : INSEE (Enquête emploi en continu, Taux de chômage localisé, RP 2013 exploitation principale), Pôle Emploi</t>
  </si>
  <si>
    <t>TAUX de CHÔMAGE</t>
  </si>
  <si>
    <t>Taux de chômage</t>
  </si>
  <si>
    <t xml:space="preserve">(1) Demandeurs d'emploi (A, B, C) depuis plus d'un an </t>
  </si>
  <si>
    <t>Sources : Pôle Emploi, DARES (Statistiques du marché du travail, données brutes), DIRECCTE (traitement ESE)</t>
  </si>
  <si>
    <t>hors RSA jeunes (RSA jeunes : page 34)</t>
  </si>
  <si>
    <t xml:space="preserve">      dont Aide à domicile</t>
  </si>
  <si>
    <t xml:space="preserve">   Aide sociale aux personnes âgées</t>
  </si>
  <si>
    <t xml:space="preserve">      dont accueil en établissement</t>
  </si>
  <si>
    <t xml:space="preserve">   Aide sociale aux personnes handicapées</t>
  </si>
  <si>
    <t xml:space="preserve">   Aide sociale à l'enfance</t>
  </si>
  <si>
    <t>Sources : DREES (enquête aide sociale 2014), CNAF-CCMSA-DARES</t>
  </si>
  <si>
    <t xml:space="preserve">   Dépenses nettes d'aide sociale par habitant</t>
  </si>
  <si>
    <t xml:space="preserve">   dont aide sociale aux personnes âgées</t>
  </si>
  <si>
    <t xml:space="preserve">   dont Allocation Personnalisée d'Autonomie</t>
  </si>
  <si>
    <t xml:space="preserve">   dont aide sociale aux personnes handicapées</t>
  </si>
  <si>
    <t xml:space="preserve">   dont aide sociale aux familles et à l'enfance</t>
  </si>
  <si>
    <t xml:space="preserve">   dont autres dépenses brutes de l'aide sociale</t>
  </si>
  <si>
    <t xml:space="preserve">   dont aide sociale au titre de l'insertion (3)</t>
  </si>
  <si>
    <t>(2) Hors aide sociale au titre de l'insertion</t>
  </si>
  <si>
    <t>(3) Liées au RSA, RMI, CUI, CI-RMA, contrats d'avenir et RSA expérimental</t>
  </si>
  <si>
    <t>(4) Y compris les frais communs et les dépenses de personnel</t>
  </si>
  <si>
    <t>(1) Données estimées pour certains départements</t>
  </si>
  <si>
    <t>Au 31 décembre 2014</t>
  </si>
  <si>
    <t xml:space="preserve">   Bénéficiaires de l'APA (4) au 31/12/2014</t>
  </si>
  <si>
    <t>(4) Allocation Personnalisée d'Autonomie</t>
  </si>
  <si>
    <t>Sources : DRDJSCS, DDCS(PP), DGCS (AHI), Finess</t>
  </si>
  <si>
    <t>Source : Pôle Emploi, STMT, données brutes</t>
  </si>
  <si>
    <t>Les données sont arrondies à la dizaine. Pour cette raison, la somme des valeurs d'une ligne (ou d'une colonne) peut différer du total affiché.</t>
  </si>
  <si>
    <t>Nombre d'apprentis au 31 déc 2015 (2)</t>
  </si>
  <si>
    <t>Volontariat</t>
  </si>
  <si>
    <t>année scolaire 2015/2016</t>
  </si>
  <si>
    <t>Année scolaire 2015/2016</t>
  </si>
  <si>
    <t>CAP - BEP</t>
  </si>
  <si>
    <t>BAC</t>
  </si>
  <si>
    <r>
      <t xml:space="preserve">(1) </t>
    </r>
    <r>
      <rPr>
        <i/>
        <sz val="7"/>
        <rFont val="Calibri"/>
        <family val="2"/>
      </rPr>
      <t>Données de l'année 2015 estimées au 4 juillet 2016</t>
    </r>
  </si>
  <si>
    <t>Sources : DREES - DRDJSCS Enquête écoles de formation 2015 et service certificateur</t>
  </si>
  <si>
    <t xml:space="preserve">             Courts de tennis (1)</t>
  </si>
  <si>
    <t>Préparateurs en pharmacie hospitalière</t>
  </si>
  <si>
    <t>Sources : DREAL – Infocentre DALO (données extraites le 06/06/2017)</t>
  </si>
  <si>
    <t>Nombre de demandes en cours au 01/01/2016</t>
  </si>
  <si>
    <t>Nombre de demandes satisfaites en 2015</t>
  </si>
  <si>
    <t>Délai moyen de satisfaction en 2015 (3)</t>
  </si>
  <si>
    <t>Montant moyen de l'aide individuelle attribuée</t>
  </si>
  <si>
    <t>Taux d'équipement en accueil collectif (1)</t>
  </si>
  <si>
    <t>(1) Pour 1 000 enfants nés au cours des trois dernières années</t>
  </si>
  <si>
    <t>Les 3 -17  ans en 2014</t>
  </si>
  <si>
    <t>Nb de structures pour 10 000 enfants de 3  à 17 ans</t>
  </si>
  <si>
    <t>Nombre de lieux d'accueils</t>
  </si>
  <si>
    <t>Nombre moyen de places par structure</t>
  </si>
  <si>
    <t>Places en périscolaire</t>
  </si>
  <si>
    <t>Places en juillet</t>
  </si>
  <si>
    <t>Places à la Toussaint</t>
  </si>
  <si>
    <t>(1) Ayant au moins une période d'activité au cours de l'année</t>
  </si>
  <si>
    <t>(2) Les accueils de loisirs s'adressent très majoritairement à des mineurs âgés de moins de 12 ans</t>
  </si>
  <si>
    <t xml:space="preserve">(3) Les accueils de jeunes, beaucoup moins nombreux, s'adressent exclusivement à des mineurs âgés de 14 ans ou plus
</t>
  </si>
  <si>
    <t>Nombre de lieux d'accueils  (1)</t>
  </si>
  <si>
    <r>
      <t xml:space="preserve">              </t>
    </r>
    <r>
      <rPr>
        <sz val="6"/>
        <color indexed="8"/>
        <rFont val="Calibri"/>
        <family val="2"/>
      </rPr>
      <t>pour tous, animation culturelle, animation sociale, loisirs tous publics, sport automobile, ...)</t>
    </r>
  </si>
  <si>
    <r>
      <t xml:space="preserve">DEJEPS </t>
    </r>
    <r>
      <rPr>
        <sz val="6"/>
        <color indexed="8"/>
        <rFont val="Calibri"/>
        <family val="2"/>
      </rPr>
      <t>(Badminton, handball, karaté, judo, tennis, animation socio-éducative ou culturelle, ...)</t>
    </r>
  </si>
  <si>
    <r>
      <t xml:space="preserve">DESJEPS </t>
    </r>
    <r>
      <rPr>
        <sz val="6"/>
        <color indexed="8"/>
        <rFont val="Calibri"/>
        <family val="2"/>
      </rPr>
      <t>(Animation socio-éducative ou culturelle , ...)</t>
    </r>
  </si>
  <si>
    <t>ε</t>
  </si>
  <si>
    <t>Ɛ : valeur inférieure à 0,1%</t>
  </si>
  <si>
    <t>http://drees.solidarites-sante.gouv.fr/etudes-et-statistiques/</t>
  </si>
  <si>
    <t>MTES</t>
  </si>
  <si>
    <t>Sources : DREAL, SDES/ MTES</t>
  </si>
  <si>
    <t>Mission des Etudes, de l'Observation et des Statistiques du ministère de l'Education Nationale</t>
  </si>
  <si>
    <t>INJEP</t>
  </si>
  <si>
    <t>Institut National de la Jeunesse et de l'Education Populaire</t>
  </si>
  <si>
    <t>Source : INJEP - MEOS</t>
  </si>
  <si>
    <t>Postes Fonjep DRDJSCS (2) 2017</t>
  </si>
  <si>
    <t>Source : Ministère des Sports, extraction PSQS réalisée le 12/09/2017</t>
  </si>
  <si>
    <t>Sources : DRDJSCS, Ministère des Sports, recensement des équipements sportifs</t>
  </si>
  <si>
    <t>Sources : DRDJSCS, DDCS, MESRI</t>
  </si>
  <si>
    <t>MESRI</t>
  </si>
  <si>
    <t>Ministère de  l'Enseignement supérieur, de la Recherche et de l'Innovation</t>
  </si>
  <si>
    <t>Ministère de la Transition Ecologique et Solidaire</t>
  </si>
  <si>
    <t>SDES</t>
  </si>
  <si>
    <t>Service de la Donnée et des Etudes Statistiques du ministère de la Transition Ecologique et Solidaire</t>
  </si>
  <si>
    <t>Direction de la Recherche, des Etudes, de l’Evaluation et des Statistiques du ministère des Solidarités et de la Santé</t>
  </si>
  <si>
    <t>Direction de l'Animation de la Recherche, des Etudes et des Statistiques du ministère du Travail</t>
  </si>
  <si>
    <t>Direction de l'Evaluation, de la Prospective et de la Performance du ministère de l'Education Nationale</t>
  </si>
  <si>
    <r>
      <t xml:space="preserve">02.40.12.80.00 / </t>
    </r>
    <r>
      <rPr>
        <u/>
        <sz val="7"/>
        <color indexed="8"/>
        <rFont val="Calibri"/>
        <family val="2"/>
      </rPr>
      <t>ddcs@loire-atlantique.gouv.fr</t>
    </r>
  </si>
  <si>
    <t>POLITIQUES PUBLIQUES TERRITORIALES</t>
  </si>
  <si>
    <r>
      <rPr>
        <b/>
        <i/>
        <sz val="7"/>
        <rFont val="Calibri"/>
        <family val="2"/>
      </rPr>
      <t>(1)</t>
    </r>
    <r>
      <rPr>
        <i/>
        <sz val="7"/>
        <rFont val="Calibri"/>
        <family val="2"/>
      </rPr>
      <t xml:space="preserve"> Y compris les communes de montagne sortant du classement en ZRR mais continuant à bénéficier des effets du dispositif</t>
    </r>
  </si>
  <si>
    <t>Sources : INSEE RP 2013, CGET</t>
  </si>
  <si>
    <t>Population des communes en 2013</t>
  </si>
  <si>
    <t>Population en quartier prioritaire en 2013</t>
  </si>
  <si>
    <t>Nombre de quartiers prioritaires</t>
  </si>
  <si>
    <t>Part de la population vivant en ZRR en 2013</t>
  </si>
  <si>
    <t xml:space="preserve">   dont accueils de jeunes (3)</t>
  </si>
  <si>
    <t xml:space="preserve">   dont accueils de loisirs (2)</t>
  </si>
  <si>
    <t>Lieux d'accueils ouverts en juillet</t>
  </si>
  <si>
    <t>Lieux d'accueils ouverts à la Toussaint</t>
  </si>
  <si>
    <t>Répartition des structures en Pays de la Loire</t>
  </si>
  <si>
    <t>-</t>
  </si>
  <si>
    <t>Lieux d'accueils ouverts en périscolaire (4)</t>
  </si>
  <si>
    <t>(4) Rupture de série due à l'inclusion du mercredi dans le périscolaire</t>
  </si>
  <si>
    <t>Nombre de séjours</t>
  </si>
  <si>
    <t>Effectif moyen par séjour</t>
  </si>
  <si>
    <t>Séjours courts (séjours non spécifiques de trois nuits maximum)</t>
  </si>
  <si>
    <t>Séjours spécifiques (sportifs, linguistiques, artistiques ou culturels, rencontres européennes de jeunes, chantiers de bénévoles)</t>
  </si>
  <si>
    <t>Séjours "activité accessoire" aux accueils de loisirs ou aux accueils de jeunes (mini-séjours de quatre nuits maximum)</t>
  </si>
  <si>
    <t>Part des séjours de 5 jours</t>
  </si>
  <si>
    <t>Répartition des séjours en Pays de la Loire</t>
  </si>
  <si>
    <t>Sources : MEN, DJEPVA, fichiers SIAM ; traitement INJEP-MEOS, estimation au 01/02/2017 - Insee RP 2014</t>
  </si>
  <si>
    <t>(2) un mineur est comptabilisé autant de fois que de séjours auxquels il participe</t>
  </si>
  <si>
    <t>Nombre de mineurs accueillis (2)</t>
  </si>
  <si>
    <t>Source : MEN, DJEPVA, fichiers SIAM ; traitement INJEP-MEOS, estimation au 01/02/2017</t>
  </si>
  <si>
    <t>Politiques publiques territoriales</t>
  </si>
  <si>
    <t>TERRITOIRES</t>
  </si>
  <si>
    <t>AIDE SOCIALE (1) - COMPETENCE DU CONSEIL DEPARTEMENTAL</t>
  </si>
  <si>
    <t>Aide sociale - Compétence du Conseil Départemental</t>
  </si>
  <si>
    <t xml:space="preserve">      dont enfants confiés à l'ASE</t>
  </si>
  <si>
    <t xml:space="preserve">      dont placements directs</t>
  </si>
  <si>
    <t>D'aucune scolarité  jusqu'au DNB(1)</t>
  </si>
  <si>
    <t>(1) Aucune scolarité, aucun diplôme ou BEPC, Brevet des Collèges ou Diplôme National du Brevet au plus</t>
  </si>
  <si>
    <t>Territoires</t>
  </si>
  <si>
    <t>Populations et projections</t>
  </si>
  <si>
    <t>Au 1/1/2013 (2)</t>
  </si>
  <si>
    <t>Au 1/1/2015 (3)</t>
  </si>
  <si>
    <t>Projection de la population en 2040 (4)</t>
  </si>
  <si>
    <t>Caractéristiques socio-démographiques</t>
  </si>
  <si>
    <t>Naissances domiciliées en 2014 (définitif)</t>
  </si>
  <si>
    <t>Décès domiciliés en 2014 (définitif)</t>
  </si>
  <si>
    <t>(1) Indicateurs sociaux départementaux</t>
  </si>
  <si>
    <t>(2) Recensement de la population</t>
  </si>
  <si>
    <t>(3) Estimation de population</t>
  </si>
  <si>
    <t>(4) Omphale 2017, selon le scénario central</t>
  </si>
  <si>
    <t>Taux d'activité (5)</t>
  </si>
  <si>
    <t>(5) Rapport entre le nombre d'actifs et la population de 15 à 64 ans</t>
  </si>
  <si>
    <t>Population active au 1/1/2013</t>
  </si>
  <si>
    <t xml:space="preserve">Nombre de communes concernées </t>
  </si>
  <si>
    <t>Part de la population résidant dans un QPV en 2013</t>
  </si>
  <si>
    <t>Quartiers Politique de la Ville (QPV) - zonage 2015</t>
  </si>
  <si>
    <t>Zones de Revitalisation Rurale (ZRR) - zonage 2017 (1)</t>
  </si>
  <si>
    <t>Nombre de communes classées</t>
  </si>
  <si>
    <t>Part des communes classées en ZRR</t>
  </si>
  <si>
    <t>Nombre de bénéficiaires de l'Aide Sociale Départementale (2)</t>
  </si>
  <si>
    <t>Dépenses brutes de l'Aide Sociale Départementale (en €)</t>
  </si>
  <si>
    <t>Dépenses nettes de l'Aide Sociale Départementale (en €) (4)</t>
  </si>
  <si>
    <t>Nb d'élèves en situation de handicap (1)</t>
  </si>
  <si>
    <t>Taux d'élèves en situation de handicap (2)</t>
  </si>
  <si>
    <t xml:space="preserve">   En ULIS (3)</t>
  </si>
  <si>
    <t>(2) Pour 100 élèves</t>
  </si>
  <si>
    <t xml:space="preserve">(3) ULIS (école, collège, lycée) :  Unités Localisées pour l'Inclusion Scolaire </t>
  </si>
  <si>
    <t>(1) Rupture de série, les élèves en établissements spécialisés n'étaient pas pris en compte les années précédentes</t>
  </si>
  <si>
    <t>Sources : Académie, MEN/DEPP</t>
  </si>
  <si>
    <t>MEN</t>
  </si>
  <si>
    <t>Ministère de l'Education Nationale</t>
  </si>
  <si>
    <t>EMPLOIS EN EQUIVALENT TEMPS PLEIN DANS LES  ASSOCIATIONS</t>
  </si>
  <si>
    <t>Sources : Agence du service civique, DRDJSCS, DJEPVA, DREES enquête FAJ 2015, DARES Parcours 3, CNAF, MSA</t>
  </si>
  <si>
    <t>Mesures ASE (placements et actions éducatives) (3)</t>
  </si>
  <si>
    <t>Mesures aide sociale à l'enfance au 01/01/2015 (2)</t>
  </si>
  <si>
    <t>(3) Pour 100 jeunes de 0 à 20 ans</t>
  </si>
  <si>
    <t>(2) Données estimées pour la Vendée, les totaux régionaux et métropolitains</t>
  </si>
  <si>
    <t>(1) Rupture de série, sont intégrés dorénavant les courts de tennis présents dans les salles multisports</t>
  </si>
  <si>
    <t xml:space="preserve">            Boulodromes (2)</t>
  </si>
  <si>
    <t>(2) Rupture de série due à une nouvelle manière de les comptabiliser</t>
  </si>
  <si>
    <t>Part des associations dans l'emploi total (1)</t>
  </si>
  <si>
    <t>Demandeurs d’emploi de longue durée</t>
  </si>
  <si>
    <t>Entrées et sorties à Pôle Emploi</t>
  </si>
  <si>
    <t>PANORAMA STATISTIQUE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</si>
</sst>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
    <numFmt numFmtId="165" formatCode="0.0%"/>
    <numFmt numFmtId="166" formatCode="#,##0.0"/>
    <numFmt numFmtId="167" formatCode="0.000%"/>
    <numFmt numFmtId="168" formatCode="#,##0.0&quot;   &quot;"/>
    <numFmt numFmtId="169" formatCode="#,##0.00\ &quot;€&quot;"/>
    <numFmt numFmtId="170" formatCode="_-* #,##0.00\ _€_-;\-* #,##0.00\ _€_-;_-* \-??\ _€_-;_-@_-"/>
    <numFmt numFmtId="171" formatCode="_-* #,##0.00,_€_-;\-* #,##0.00,_€_-;_-* \-??\ _€_-;_-@_-"/>
    <numFmt numFmtId="172" formatCode="#,##0\ &quot;€&quot;"/>
  </numFmts>
  <fonts count="130"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0"/>
      <name val="System"/>
      <family val="2"/>
    </font>
    <font>
      <sz val="7"/>
      <color indexed="8"/>
      <name val="Calibri"/>
      <family val="2"/>
    </font>
    <font>
      <b/>
      <sz val="7"/>
      <color indexed="8"/>
      <name val="Calibri"/>
      <family val="2"/>
    </font>
    <font>
      <i/>
      <sz val="7"/>
      <color indexed="8"/>
      <name val="Calibri"/>
      <family val="2"/>
    </font>
    <font>
      <sz val="7"/>
      <name val="Calibri"/>
      <family val="2"/>
    </font>
    <font>
      <b/>
      <i/>
      <sz val="7"/>
      <name val="Calibri"/>
      <family val="2"/>
    </font>
    <font>
      <i/>
      <sz val="7"/>
      <name val="Calibri"/>
      <family val="2"/>
    </font>
    <font>
      <b/>
      <sz val="10"/>
      <color indexed="9"/>
      <name val="Calibri"/>
      <family val="2"/>
    </font>
    <font>
      <b/>
      <sz val="8"/>
      <color indexed="9"/>
      <name val="Calibri"/>
      <family val="2"/>
    </font>
    <font>
      <sz val="8"/>
      <name val="Calibri"/>
      <family val="2"/>
    </font>
    <font>
      <b/>
      <sz val="7"/>
      <name val="Calibri"/>
      <family val="2"/>
    </font>
    <font>
      <b/>
      <i/>
      <sz val="7"/>
      <color indexed="8"/>
      <name val="Calibri"/>
      <family val="2"/>
    </font>
    <font>
      <sz val="7"/>
      <color indexed="10"/>
      <name val="Calibri"/>
      <family val="2"/>
    </font>
    <font>
      <b/>
      <sz val="10"/>
      <name val="Calibri"/>
      <family val="2"/>
    </font>
    <font>
      <sz val="10"/>
      <name val="Calibri"/>
      <family val="2"/>
    </font>
    <font>
      <b/>
      <sz val="7"/>
      <color indexed="10"/>
      <name val="Calibri"/>
      <family val="2"/>
    </font>
    <font>
      <b/>
      <sz val="8.5"/>
      <name val="Calibri"/>
      <family val="2"/>
    </font>
    <font>
      <b/>
      <sz val="11"/>
      <color indexed="8"/>
      <name val="Calibri"/>
      <family val="2"/>
    </font>
    <font>
      <sz val="7"/>
      <name val="Calibri"/>
      <family val="2"/>
    </font>
    <font>
      <b/>
      <sz val="8"/>
      <color indexed="9"/>
      <name val="Calibri"/>
      <family val="2"/>
    </font>
    <font>
      <sz val="8"/>
      <name val="Calibri"/>
      <family val="2"/>
    </font>
    <font>
      <b/>
      <sz val="7"/>
      <name val="Calibri"/>
      <family val="2"/>
    </font>
    <font>
      <i/>
      <sz val="7"/>
      <name val="Calibri"/>
      <family val="2"/>
    </font>
    <font>
      <b/>
      <i/>
      <sz val="7"/>
      <name val="Calibri"/>
      <family val="2"/>
    </font>
    <font>
      <i/>
      <sz val="11"/>
      <color indexed="8"/>
      <name val="Calibri"/>
      <family val="2"/>
    </font>
    <font>
      <sz val="5"/>
      <name val="Calibri"/>
      <family val="2"/>
    </font>
    <font>
      <sz val="7"/>
      <name val="Calibri"/>
      <family val="2"/>
    </font>
    <font>
      <sz val="6.5"/>
      <color indexed="8"/>
      <name val="Calibri"/>
      <family val="2"/>
    </font>
    <font>
      <sz val="7"/>
      <color indexed="8"/>
      <name val="Calibri"/>
      <family val="2"/>
    </font>
    <font>
      <b/>
      <sz val="7"/>
      <color indexed="8"/>
      <name val="Calibri"/>
      <family val="2"/>
    </font>
    <font>
      <sz val="10"/>
      <name val="Calibri"/>
      <family val="2"/>
    </font>
    <font>
      <sz val="10"/>
      <color indexed="8"/>
      <name val="Calibri"/>
      <family val="2"/>
    </font>
    <font>
      <b/>
      <sz val="10"/>
      <name val="Calibri"/>
      <family val="2"/>
    </font>
    <font>
      <b/>
      <i/>
      <sz val="7"/>
      <color indexed="8"/>
      <name val="Calibri"/>
      <family val="2"/>
    </font>
    <font>
      <i/>
      <sz val="7"/>
      <color indexed="8"/>
      <name val="Calibri"/>
      <family val="2"/>
    </font>
    <font>
      <b/>
      <sz val="9"/>
      <name val="Calibri"/>
      <family val="2"/>
    </font>
    <font>
      <sz val="11"/>
      <name val="Calibri"/>
      <family val="2"/>
    </font>
    <font>
      <b/>
      <sz val="7"/>
      <color indexed="56"/>
      <name val="Calibri"/>
      <family val="2"/>
    </font>
    <font>
      <sz val="7"/>
      <color indexed="56"/>
      <name val="Calibri"/>
      <family val="2"/>
    </font>
    <font>
      <sz val="6"/>
      <color indexed="8"/>
      <name val="Calibri"/>
      <family val="2"/>
    </font>
    <font>
      <b/>
      <vertAlign val="superscript"/>
      <sz val="7"/>
      <color indexed="8"/>
      <name val="Calibri"/>
      <family val="2"/>
    </font>
    <font>
      <sz val="3"/>
      <color indexed="8"/>
      <name val="Calibri"/>
      <family val="2"/>
    </font>
    <font>
      <b/>
      <sz val="3"/>
      <color indexed="8"/>
      <name val="Calibri"/>
      <family val="2"/>
    </font>
    <font>
      <sz val="2"/>
      <color indexed="8"/>
      <name val="Calibri"/>
      <family val="2"/>
    </font>
    <font>
      <b/>
      <sz val="2"/>
      <color indexed="8"/>
      <name val="Calibri"/>
      <family val="2"/>
    </font>
    <font>
      <b/>
      <sz val="6"/>
      <color indexed="8"/>
      <name val="Calibri"/>
      <family val="2"/>
    </font>
    <font>
      <i/>
      <sz val="6.5"/>
      <color indexed="8"/>
      <name val="Calibri"/>
      <family val="2"/>
    </font>
    <font>
      <sz val="4"/>
      <color indexed="8"/>
      <name val="Calibri"/>
      <family val="2"/>
    </font>
    <font>
      <u/>
      <sz val="7"/>
      <color indexed="8"/>
      <name val="Calibri"/>
      <family val="2"/>
    </font>
    <font>
      <sz val="11"/>
      <color indexed="10"/>
      <name val="Calibri"/>
      <family val="2"/>
    </font>
    <font>
      <u/>
      <sz val="11"/>
      <color indexed="12"/>
      <name val="Calibri"/>
      <family val="2"/>
    </font>
    <font>
      <sz val="8"/>
      <color indexed="10"/>
      <name val="Calibri"/>
      <family val="2"/>
    </font>
    <font>
      <i/>
      <sz val="8"/>
      <color indexed="10"/>
      <name val="Calibri"/>
      <family val="2"/>
    </font>
    <font>
      <i/>
      <sz val="7"/>
      <color indexed="10"/>
      <name val="Calibri"/>
      <family val="2"/>
    </font>
    <font>
      <b/>
      <sz val="8"/>
      <color indexed="10"/>
      <name val="Calibri"/>
      <family val="2"/>
    </font>
    <font>
      <b/>
      <sz val="10"/>
      <color indexed="10"/>
      <name val="Calibri"/>
      <family val="2"/>
    </font>
    <font>
      <sz val="10"/>
      <color indexed="10"/>
      <name val="Calibri"/>
      <family val="2"/>
    </font>
    <font>
      <b/>
      <sz val="11"/>
      <name val="Calibri"/>
      <family val="2"/>
    </font>
    <font>
      <sz val="14"/>
      <color indexed="10"/>
      <name val="Calibri"/>
      <family val="2"/>
    </font>
    <font>
      <u/>
      <sz val="7"/>
      <color indexed="12"/>
      <name val="Calibri"/>
      <family val="2"/>
    </font>
    <font>
      <b/>
      <sz val="11"/>
      <color indexed="10"/>
      <name val="Calibri"/>
      <family val="2"/>
    </font>
    <font>
      <sz val="7"/>
      <color indexed="22"/>
      <name val="Calibri"/>
      <family val="2"/>
    </font>
    <font>
      <b/>
      <sz val="7"/>
      <color indexed="22"/>
      <name val="Calibri"/>
      <family val="2"/>
    </font>
    <font>
      <sz val="10"/>
      <name val="MS Sans Serif"/>
      <family val="2"/>
    </font>
    <font>
      <sz val="8"/>
      <name val="Helv"/>
    </font>
    <font>
      <sz val="7"/>
      <name val="Arial"/>
      <family val="2"/>
    </font>
    <font>
      <sz val="10"/>
      <color indexed="8"/>
      <name val="Arial"/>
      <family val="2"/>
    </font>
    <font>
      <i/>
      <sz val="7"/>
      <color indexed="22"/>
      <name val="Calibri"/>
      <family val="2"/>
    </font>
    <font>
      <b/>
      <sz val="8"/>
      <color indexed="8"/>
      <name val="Arial"/>
      <family val="2"/>
    </font>
    <font>
      <sz val="6.5"/>
      <name val="Calibri"/>
      <family val="2"/>
    </font>
    <font>
      <b/>
      <sz val="6.5"/>
      <name val="Calibri"/>
      <family val="2"/>
    </font>
    <font>
      <sz val="2"/>
      <name val="Calibri"/>
      <family val="2"/>
    </font>
    <font>
      <b/>
      <sz val="2"/>
      <name val="Calibri"/>
      <family val="2"/>
    </font>
    <font>
      <i/>
      <sz val="6.5"/>
      <name val="Calibri"/>
      <family val="2"/>
    </font>
    <font>
      <sz val="7"/>
      <name val="Calibri"/>
      <family val="2"/>
      <charset val="1"/>
    </font>
    <font>
      <b/>
      <sz val="7"/>
      <name val="Calibri"/>
      <family val="2"/>
      <charset val="1"/>
    </font>
    <font>
      <b/>
      <sz val="10"/>
      <color indexed="8"/>
      <name val="Calibri"/>
      <family val="2"/>
    </font>
    <font>
      <i/>
      <sz val="10"/>
      <color indexed="8"/>
      <name val="Calibri"/>
      <family val="2"/>
    </font>
    <font>
      <sz val="6"/>
      <color indexed="10"/>
      <name val="Calibri"/>
      <family val="2"/>
    </font>
    <font>
      <i/>
      <sz val="7"/>
      <name val="Calibri"/>
      <family val="2"/>
      <charset val="1"/>
    </font>
    <font>
      <sz val="11"/>
      <color rgb="FF000000"/>
      <name val="Calibri"/>
      <family val="2"/>
      <charset val="1"/>
    </font>
    <font>
      <b/>
      <sz val="11"/>
      <color theme="1"/>
      <name val="Calibri"/>
      <family val="2"/>
      <scheme val="minor"/>
    </font>
    <font>
      <b/>
      <sz val="7"/>
      <name val="Calibri"/>
      <family val="2"/>
      <scheme val="minor"/>
    </font>
    <font>
      <sz val="7"/>
      <name val="Calibri"/>
      <family val="2"/>
      <scheme val="minor"/>
    </font>
    <font>
      <i/>
      <sz val="7"/>
      <name val="Calibri"/>
      <family val="2"/>
      <scheme val="minor"/>
    </font>
    <font>
      <b/>
      <i/>
      <sz val="7"/>
      <name val="Calibri"/>
      <family val="2"/>
      <scheme val="minor"/>
    </font>
    <font>
      <sz val="7"/>
      <color theme="1"/>
      <name val="Calibri"/>
      <family val="2"/>
      <scheme val="minor"/>
    </font>
    <font>
      <b/>
      <sz val="7"/>
      <color theme="1"/>
      <name val="Calibri"/>
      <family val="2"/>
      <scheme val="minor"/>
    </font>
    <font>
      <sz val="7"/>
      <color indexed="8"/>
      <name val="Calibri"/>
      <family val="2"/>
      <scheme val="minor"/>
    </font>
    <font>
      <sz val="7"/>
      <color rgb="FFFF0000"/>
      <name val="Calibri"/>
      <family val="2"/>
    </font>
    <font>
      <b/>
      <sz val="8"/>
      <color rgb="FF0000FF"/>
      <name val="Calibri"/>
      <family val="2"/>
    </font>
    <font>
      <sz val="8"/>
      <color rgb="FFFF0000"/>
      <name val="Calibri"/>
      <family val="2"/>
    </font>
    <font>
      <b/>
      <sz val="7"/>
      <color rgb="FF00B050"/>
      <name val="Calibri"/>
      <family val="2"/>
    </font>
    <font>
      <b/>
      <sz val="9"/>
      <color rgb="FFFF0000"/>
      <name val="Calibri"/>
      <family val="2"/>
    </font>
    <font>
      <i/>
      <sz val="7"/>
      <color rgb="FFFF0000"/>
      <name val="Calibri"/>
      <family val="2"/>
    </font>
    <font>
      <sz val="10"/>
      <color theme="1"/>
      <name val="Calibri"/>
      <family val="2"/>
      <scheme val="minor"/>
    </font>
    <font>
      <i/>
      <sz val="10"/>
      <color theme="1"/>
      <name val="Calibri"/>
      <family val="2"/>
      <scheme val="minor"/>
    </font>
    <font>
      <sz val="7"/>
      <color rgb="FFBABABA"/>
      <name val="Calibri"/>
      <family val="2"/>
    </font>
    <font>
      <b/>
      <sz val="7"/>
      <color rgb="FFBABABA"/>
      <name val="Calibri"/>
      <family val="2"/>
    </font>
    <font>
      <sz val="7"/>
      <color theme="0" tint="-0.249977111117893"/>
      <name val="Calibri"/>
      <family val="2"/>
    </font>
    <font>
      <b/>
      <sz val="7"/>
      <color theme="0" tint="-0.249977111117893"/>
      <name val="Calibri"/>
      <family val="2"/>
    </font>
    <font>
      <sz val="11"/>
      <color rgb="FFFF0000"/>
      <name val="Calibri"/>
      <family val="2"/>
    </font>
    <font>
      <sz val="7"/>
      <color rgb="FF000000"/>
      <name val="Calibri"/>
      <family val="2"/>
      <charset val="1"/>
    </font>
    <font>
      <b/>
      <sz val="7"/>
      <color rgb="FFFF0000"/>
      <name val="Calibri"/>
      <family val="2"/>
    </font>
    <font>
      <b/>
      <sz val="7"/>
      <color rgb="FF000000"/>
      <name val="Calibri"/>
      <family val="2"/>
      <charset val="1"/>
    </font>
    <font>
      <b/>
      <i/>
      <sz val="7"/>
      <name val="Calibri"/>
      <family val="2"/>
      <charset val="1"/>
    </font>
    <font>
      <sz val="7"/>
      <color rgb="FF00B050"/>
      <name val="Calibri"/>
      <family val="2"/>
    </font>
    <font>
      <i/>
      <vertAlign val="superscript"/>
      <sz val="7"/>
      <name val="Calibri"/>
      <family val="2"/>
    </font>
    <font>
      <sz val="11"/>
      <color rgb="FFFF0000"/>
      <name val="Calibri"/>
      <family val="2"/>
      <scheme val="minor"/>
    </font>
    <font>
      <sz val="7"/>
      <color theme="0" tint="-0.14999847407452621"/>
      <name val="Calibri"/>
      <family val="2"/>
    </font>
    <font>
      <b/>
      <sz val="7"/>
      <color theme="0" tint="-0.14999847407452621"/>
      <name val="Calibri"/>
      <family val="2"/>
    </font>
    <font>
      <i/>
      <sz val="8"/>
      <color indexed="8"/>
      <name val="Arial"/>
      <family val="2"/>
    </font>
    <font>
      <b/>
      <sz val="8"/>
      <name val="Arial"/>
      <family val="2"/>
    </font>
    <font>
      <sz val="8"/>
      <name val="Arial"/>
      <family val="2"/>
    </font>
    <font>
      <b/>
      <sz val="8"/>
      <color rgb="FFFF0000"/>
      <name val="Calibri"/>
      <family val="2"/>
    </font>
    <font>
      <sz val="7"/>
      <color theme="0" tint="-0.34998626667073579"/>
      <name val="Calibri"/>
      <family val="2"/>
    </font>
    <font>
      <b/>
      <sz val="7"/>
      <color theme="0" tint="-0.34998626667073579"/>
      <name val="Calibri"/>
      <family val="2"/>
    </font>
    <font>
      <sz val="11"/>
      <name val="Calibri"/>
      <family val="2"/>
      <scheme val="minor"/>
    </font>
    <font>
      <sz val="7"/>
      <color theme="0" tint="-0.34998626667073579"/>
      <name val="Calibri"/>
      <family val="2"/>
      <scheme val="minor"/>
    </font>
    <font>
      <b/>
      <sz val="7"/>
      <color theme="0" tint="-0.34998626667073579"/>
      <name val="Calibri"/>
      <family val="2"/>
      <scheme val="minor"/>
    </font>
    <font>
      <b/>
      <sz val="10"/>
      <color theme="0"/>
      <name val="Calibri"/>
      <family val="2"/>
    </font>
    <font>
      <b/>
      <sz val="8"/>
      <color theme="0"/>
      <name val="Calibri"/>
      <family val="2"/>
    </font>
    <font>
      <b/>
      <sz val="7"/>
      <color theme="0"/>
      <name val="Calibri"/>
      <family val="2"/>
    </font>
    <font>
      <b/>
      <sz val="9"/>
      <color theme="0"/>
      <name val="Calibri"/>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7A1D42"/>
        <bgColor indexed="64"/>
      </patternFill>
    </fill>
    <fill>
      <patternFill patternType="solid">
        <fgColor rgb="FF7A1D42"/>
        <bgColor indexed="21"/>
      </patternFill>
    </fill>
    <fill>
      <patternFill patternType="solid">
        <fgColor rgb="FFD29AA6"/>
        <bgColor indexed="64"/>
      </patternFill>
    </fill>
    <fill>
      <patternFill patternType="solid">
        <fgColor rgb="FFD29AA6"/>
        <bgColor indexed="51"/>
      </patternFill>
    </fill>
  </fills>
  <borders count="6">
    <border>
      <left/>
      <right/>
      <top/>
      <bottom/>
      <diagonal/>
    </border>
    <border>
      <left style="thin">
        <color rgb="FFCCCCFF"/>
      </left>
      <right style="thin">
        <color rgb="FFCCCCFF"/>
      </right>
      <top style="thin">
        <color rgb="FFCCCCFF"/>
      </top>
      <bottom style="thin">
        <color rgb="FFCCCCFF"/>
      </bottom>
      <diagonal/>
    </border>
    <border>
      <left style="thick">
        <color rgb="FF7A1D42"/>
      </left>
      <right style="thick">
        <color rgb="FF7A1D42"/>
      </right>
      <top style="thick">
        <color rgb="FF7A1D42"/>
      </top>
      <bottom/>
      <diagonal/>
    </border>
    <border>
      <left style="thick">
        <color rgb="FF7A1D42"/>
      </left>
      <right style="thick">
        <color rgb="FF7A1D42"/>
      </right>
      <top/>
      <bottom/>
      <diagonal/>
    </border>
    <border>
      <left style="thick">
        <color rgb="FF7A1D42"/>
      </left>
      <right style="thick">
        <color rgb="FF7A1D42"/>
      </right>
      <top/>
      <bottom style="thick">
        <color rgb="FF7A1D42"/>
      </bottom>
      <diagonal/>
    </border>
    <border>
      <left/>
      <right/>
      <top/>
      <bottom style="thick">
        <color rgb="FF7A1D42"/>
      </bottom>
      <diagonal/>
    </border>
  </borders>
  <cellStyleXfs count="19">
    <xf numFmtId="0" fontId="0" fillId="0" borderId="0"/>
    <xf numFmtId="0" fontId="56" fillId="0" borderId="0" applyNumberFormat="0" applyFill="0" applyBorder="0" applyAlignment="0" applyProtection="0">
      <alignment vertical="top"/>
      <protection locked="0"/>
    </xf>
    <xf numFmtId="43" fontId="4" fillId="0" borderId="0" applyFont="0" applyFill="0" applyBorder="0" applyAlignment="0" applyProtection="0"/>
    <xf numFmtId="43" fontId="3" fillId="0" borderId="0" applyFont="0" applyFill="0" applyBorder="0" applyAlignment="0" applyProtection="0"/>
    <xf numFmtId="170" fontId="1" fillId="0" borderId="0" applyFill="0" applyBorder="0" applyAlignment="0" applyProtection="0"/>
    <xf numFmtId="0" fontId="5" fillId="0" borderId="0"/>
    <xf numFmtId="0" fontId="1" fillId="0" borderId="0"/>
    <xf numFmtId="0" fontId="5" fillId="0" borderId="0"/>
    <xf numFmtId="0" fontId="70" fillId="0" borderId="0"/>
    <xf numFmtId="0" fontId="5" fillId="0" borderId="0"/>
    <xf numFmtId="0" fontId="69" fillId="0" borderId="0"/>
    <xf numFmtId="0" fontId="5" fillId="0" borderId="0"/>
    <xf numFmtId="0" fontId="6" fillId="0" borderId="0"/>
    <xf numFmtId="0" fontId="5" fillId="0" borderId="0"/>
    <xf numFmtId="9" fontId="4" fillId="0" borderId="0" applyFont="0" applyFill="0" applyBorder="0" applyAlignment="0" applyProtection="0"/>
    <xf numFmtId="9" fontId="3"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171" fontId="86" fillId="0" borderId="0" applyBorder="0" applyProtection="0"/>
  </cellStyleXfs>
  <cellXfs count="1044">
    <xf numFmtId="0" fontId="0" fillId="0" borderId="0" xfId="0"/>
    <xf numFmtId="0" fontId="24" fillId="0" borderId="0" xfId="0" applyFont="1"/>
    <xf numFmtId="0" fontId="26" fillId="0" borderId="0" xfId="0" applyFont="1"/>
    <xf numFmtId="0" fontId="27" fillId="0" borderId="0" xfId="0" applyFont="1" applyAlignment="1">
      <alignment vertical="center"/>
    </xf>
    <xf numFmtId="0" fontId="24" fillId="0" borderId="0" xfId="0" applyFont="1" applyAlignment="1">
      <alignment horizontal="right"/>
    </xf>
    <xf numFmtId="0" fontId="27" fillId="0" borderId="0" xfId="0" applyFont="1"/>
    <xf numFmtId="0" fontId="24" fillId="0" borderId="0" xfId="0" applyFont="1" applyBorder="1" applyAlignment="1">
      <alignment horizontal="right" vertical="center"/>
    </xf>
    <xf numFmtId="0" fontId="24" fillId="0" borderId="0" xfId="0" applyFont="1" applyBorder="1" applyAlignment="1">
      <alignment horizontal="right" vertical="center" wrapText="1"/>
    </xf>
    <xf numFmtId="0" fontId="27" fillId="0" borderId="0" xfId="0" applyFont="1" applyFill="1" applyBorder="1" applyAlignment="1">
      <alignment horizontal="right" vertical="center" wrapText="1"/>
    </xf>
    <xf numFmtId="0" fontId="24" fillId="0" borderId="0" xfId="0" applyFont="1" applyBorder="1" applyAlignment="1">
      <alignment horizontal="center" vertical="center"/>
    </xf>
    <xf numFmtId="3" fontId="24" fillId="0" borderId="0" xfId="0" applyNumberFormat="1" applyFont="1"/>
    <xf numFmtId="0" fontId="28" fillId="0" borderId="0" xfId="0" applyFont="1" applyAlignment="1"/>
    <xf numFmtId="0" fontId="7" fillId="0" borderId="0" xfId="0" applyFont="1" applyBorder="1"/>
    <xf numFmtId="0" fontId="10" fillId="0" borderId="0" xfId="0" applyFont="1" applyFill="1" applyBorder="1"/>
    <xf numFmtId="0" fontId="7" fillId="0" borderId="0" xfId="0" applyFont="1" applyFill="1" applyBorder="1"/>
    <xf numFmtId="165" fontId="29" fillId="0" borderId="0" xfId="0" applyNumberFormat="1" applyFont="1"/>
    <xf numFmtId="0" fontId="0" fillId="0" borderId="0" xfId="0"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10" fillId="0" borderId="0" xfId="0" applyFont="1" applyBorder="1"/>
    <xf numFmtId="0" fontId="10" fillId="0" borderId="0" xfId="0" applyFont="1" applyBorder="1" applyAlignment="1">
      <alignment horizontal="right" vertical="center" wrapText="1"/>
    </xf>
    <xf numFmtId="0" fontId="16" fillId="0" borderId="0" xfId="0" applyFont="1" applyFill="1" applyBorder="1" applyAlignment="1">
      <alignment horizontal="right" vertical="center" wrapText="1"/>
    </xf>
    <xf numFmtId="0" fontId="10" fillId="0" borderId="0" xfId="0" applyFont="1" applyBorder="1" applyAlignment="1">
      <alignment horizontal="center" vertical="center" wrapText="1"/>
    </xf>
    <xf numFmtId="3" fontId="10" fillId="0" borderId="0" xfId="0" applyNumberFormat="1" applyFont="1" applyBorder="1" applyAlignment="1">
      <alignment vertical="center"/>
    </xf>
    <xf numFmtId="3" fontId="16" fillId="0" borderId="0" xfId="0" applyNumberFormat="1" applyFont="1" applyFill="1" applyBorder="1" applyAlignment="1">
      <alignment vertical="center"/>
    </xf>
    <xf numFmtId="0" fontId="16" fillId="0" borderId="0" xfId="0" applyFont="1" applyBorder="1"/>
    <xf numFmtId="2" fontId="12" fillId="0" borderId="0" xfId="0" applyNumberFormat="1" applyFont="1" applyFill="1" applyBorder="1" applyAlignment="1" applyProtection="1">
      <alignment vertical="center"/>
    </xf>
    <xf numFmtId="3" fontId="12" fillId="0" borderId="0" xfId="0" applyNumberFormat="1" applyFont="1" applyFill="1" applyBorder="1" applyAlignment="1" applyProtection="1">
      <alignment vertical="center"/>
    </xf>
    <xf numFmtId="0" fontId="12" fillId="0" borderId="0" xfId="0" applyFont="1" applyBorder="1"/>
    <xf numFmtId="3" fontId="10" fillId="0" borderId="0" xfId="0" applyNumberFormat="1" applyFont="1" applyBorder="1" applyAlignment="1">
      <alignment horizontal="right" vertical="center"/>
    </xf>
    <xf numFmtId="0" fontId="10" fillId="0" borderId="0" xfId="0" applyFont="1" applyBorder="1" applyAlignment="1">
      <alignment vertical="center"/>
    </xf>
    <xf numFmtId="0" fontId="18" fillId="0" borderId="0" xfId="0" applyFont="1" applyBorder="1" applyAlignment="1">
      <alignment vertical="center"/>
    </xf>
    <xf numFmtId="0" fontId="16" fillId="0" borderId="0" xfId="0" applyFont="1" applyAlignment="1">
      <alignment horizontal="left" vertical="center"/>
    </xf>
    <xf numFmtId="164" fontId="10" fillId="0" borderId="0" xfId="0" applyNumberFormat="1" applyFont="1" applyAlignment="1">
      <alignment horizontal="center" vertical="center"/>
    </xf>
    <xf numFmtId="164" fontId="16" fillId="0" borderId="0" xfId="0" applyNumberFormat="1" applyFont="1" applyAlignment="1">
      <alignment horizontal="center" vertical="center"/>
    </xf>
    <xf numFmtId="164" fontId="10" fillId="0" borderId="0" xfId="0" applyNumberFormat="1" applyFont="1" applyBorder="1" applyAlignment="1">
      <alignment horizontal="right" vertical="center" wrapText="1"/>
    </xf>
    <xf numFmtId="164" fontId="16" fillId="0" borderId="0" xfId="0" applyNumberFormat="1" applyFont="1" applyBorder="1" applyAlignment="1">
      <alignment horizontal="right" vertical="center" wrapText="1"/>
    </xf>
    <xf numFmtId="0" fontId="10" fillId="0" borderId="0" xfId="0" applyFont="1" applyBorder="1" applyAlignment="1">
      <alignment horizontal="left" vertical="center"/>
    </xf>
    <xf numFmtId="164" fontId="10" fillId="0" borderId="0" xfId="0" applyNumberFormat="1" applyFont="1" applyBorder="1" applyAlignment="1">
      <alignment horizontal="center" vertical="center"/>
    </xf>
    <xf numFmtId="164" fontId="16" fillId="0" borderId="0" xfId="0" applyNumberFormat="1" applyFont="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12" fillId="0" borderId="0" xfId="0" applyFont="1" applyAlignment="1">
      <alignment horizontal="left" vertical="center"/>
    </xf>
    <xf numFmtId="164" fontId="16" fillId="0" borderId="0" xfId="0" applyNumberFormat="1" applyFont="1" applyBorder="1" applyAlignment="1">
      <alignment horizontal="left" vertical="center"/>
    </xf>
    <xf numFmtId="0" fontId="15" fillId="0" borderId="0" xfId="0" applyFont="1"/>
    <xf numFmtId="3" fontId="10" fillId="0" borderId="0" xfId="0" applyNumberFormat="1" applyFont="1" applyBorder="1" applyAlignment="1">
      <alignment horizontal="right" vertical="center" wrapText="1"/>
    </xf>
    <xf numFmtId="3" fontId="10" fillId="0" borderId="0" xfId="0" applyNumberFormat="1" applyFont="1" applyAlignment="1">
      <alignment vertical="center"/>
    </xf>
    <xf numFmtId="3" fontId="16" fillId="0" borderId="0" xfId="0" applyNumberFormat="1" applyFont="1" applyAlignment="1">
      <alignment vertical="center"/>
    </xf>
    <xf numFmtId="3" fontId="16" fillId="0" borderId="0" xfId="0" applyNumberFormat="1" applyFont="1" applyBorder="1" applyAlignment="1">
      <alignment vertical="center"/>
    </xf>
    <xf numFmtId="3" fontId="10" fillId="0" borderId="0" xfId="0" applyNumberFormat="1" applyFont="1"/>
    <xf numFmtId="3" fontId="16" fillId="0" borderId="0" xfId="0" applyNumberFormat="1" applyFont="1"/>
    <xf numFmtId="0" fontId="10" fillId="0" borderId="0" xfId="0" applyFont="1"/>
    <xf numFmtId="0" fontId="16" fillId="0" borderId="0" xfId="0" applyFont="1"/>
    <xf numFmtId="0" fontId="10" fillId="0" borderId="0" xfId="0" applyFont="1" applyAlignment="1"/>
    <xf numFmtId="0" fontId="16" fillId="0" borderId="0" xfId="0" applyFont="1" applyAlignment="1">
      <alignment vertical="center"/>
    </xf>
    <xf numFmtId="0" fontId="10" fillId="0" borderId="0" xfId="0" applyFont="1" applyAlignment="1">
      <alignment horizontal="right"/>
    </xf>
    <xf numFmtId="0" fontId="10" fillId="0" borderId="0" xfId="0" applyFont="1" applyBorder="1" applyAlignment="1">
      <alignment horizontal="right" vertical="center"/>
    </xf>
    <xf numFmtId="0" fontId="10" fillId="0" borderId="0" xfId="0" applyFont="1" applyFill="1" applyBorder="1" applyAlignment="1">
      <alignment horizontal="right" vertical="center" wrapText="1"/>
    </xf>
    <xf numFmtId="0" fontId="10" fillId="0" borderId="0" xfId="0" applyFont="1" applyBorder="1" applyAlignment="1">
      <alignment horizontal="center" vertical="center"/>
    </xf>
    <xf numFmtId="0" fontId="10" fillId="0" borderId="0" xfId="0" applyFont="1" applyFill="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Fill="1" applyAlignment="1">
      <alignment vertical="center"/>
    </xf>
    <xf numFmtId="0" fontId="10" fillId="0" borderId="0" xfId="0" applyFont="1" applyFill="1"/>
    <xf numFmtId="0" fontId="16" fillId="0" borderId="0" xfId="0" applyFont="1" applyFill="1"/>
    <xf numFmtId="3" fontId="10" fillId="0" borderId="0" xfId="0" applyNumberFormat="1" applyFont="1" applyFill="1" applyBorder="1" applyAlignment="1">
      <alignment horizontal="right" vertical="center"/>
    </xf>
    <xf numFmtId="0" fontId="16" fillId="0" borderId="0" xfId="0" applyFont="1" applyFill="1" applyBorder="1" applyAlignment="1">
      <alignment vertical="center"/>
    </xf>
    <xf numFmtId="0" fontId="7" fillId="0" borderId="0" xfId="0" applyFont="1" applyBorder="1" applyAlignment="1">
      <alignment horizontal="left" vertical="center" wrapText="1"/>
    </xf>
    <xf numFmtId="3" fontId="10" fillId="0" borderId="0" xfId="0" quotePrefix="1" applyNumberFormat="1" applyFont="1" applyAlignment="1">
      <alignment vertical="center"/>
    </xf>
    <xf numFmtId="3" fontId="16" fillId="0" borderId="0" xfId="0" quotePrefix="1" applyNumberFormat="1" applyFont="1" applyFill="1" applyAlignment="1">
      <alignment vertical="center"/>
    </xf>
    <xf numFmtId="165" fontId="10" fillId="0" borderId="0" xfId="15" quotePrefix="1" applyNumberFormat="1" applyFont="1" applyFill="1" applyAlignment="1">
      <alignment vertical="center"/>
    </xf>
    <xf numFmtId="3" fontId="10" fillId="0" borderId="0" xfId="3" applyNumberFormat="1" applyFont="1" applyFill="1" applyBorder="1" applyAlignment="1">
      <alignment vertical="center"/>
    </xf>
    <xf numFmtId="3" fontId="16" fillId="0" borderId="0" xfId="3" applyNumberFormat="1" applyFont="1" applyFill="1" applyBorder="1" applyAlignment="1">
      <alignment vertical="center"/>
    </xf>
    <xf numFmtId="0" fontId="10" fillId="0" borderId="0" xfId="0" applyFont="1" applyAlignment="1">
      <alignment horizontal="left" wrapText="1"/>
    </xf>
    <xf numFmtId="3" fontId="10" fillId="0" borderId="0" xfId="0" applyNumberFormat="1" applyFont="1" applyFill="1" applyBorder="1" applyAlignment="1">
      <alignment vertical="center"/>
    </xf>
    <xf numFmtId="0" fontId="12" fillId="0" borderId="0" xfId="0" applyFont="1" applyAlignment="1"/>
    <xf numFmtId="0" fontId="16" fillId="0" borderId="0" xfId="0" applyFont="1" applyFill="1" applyAlignment="1"/>
    <xf numFmtId="0" fontId="9" fillId="0" borderId="0" xfId="0" applyFont="1" applyAlignment="1">
      <alignment vertical="center"/>
    </xf>
    <xf numFmtId="3" fontId="10" fillId="0" borderId="0" xfId="0" applyNumberFormat="1" applyFont="1" applyFill="1" applyBorder="1"/>
    <xf numFmtId="3" fontId="16" fillId="0" borderId="0" xfId="0" applyNumberFormat="1" applyFont="1" applyAlignment="1">
      <alignment horizontal="right" vertical="center"/>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3" fontId="10" fillId="0" borderId="0" xfId="0" applyNumberFormat="1" applyFont="1" applyFill="1" applyBorder="1" applyAlignment="1">
      <alignment horizontal="right" vertical="center" wrapText="1"/>
    </xf>
    <xf numFmtId="0" fontId="7" fillId="0" borderId="0" xfId="0" applyFont="1"/>
    <xf numFmtId="0" fontId="12" fillId="0" borderId="0" xfId="0" applyFont="1"/>
    <xf numFmtId="0" fontId="16" fillId="0" borderId="0" xfId="0" applyFont="1" applyFill="1" applyBorder="1"/>
    <xf numFmtId="49" fontId="10" fillId="0" borderId="0" xfId="0" applyNumberFormat="1" applyFont="1" applyFill="1" applyAlignment="1">
      <alignment horizontal="right" vertical="center" wrapText="1"/>
    </xf>
    <xf numFmtId="3" fontId="10" fillId="0" borderId="0" xfId="0" applyNumberFormat="1" applyFont="1" applyFill="1" applyAlignment="1">
      <alignment vertical="center"/>
    </xf>
    <xf numFmtId="3" fontId="16" fillId="0" borderId="0" xfId="0" applyNumberFormat="1" applyFont="1" applyFill="1" applyAlignment="1">
      <alignment vertical="center"/>
    </xf>
    <xf numFmtId="164" fontId="10" fillId="0" borderId="0" xfId="12" applyNumberFormat="1" applyFont="1"/>
    <xf numFmtId="0" fontId="10" fillId="0" borderId="0" xfId="0" applyFont="1" applyFill="1" applyAlignment="1"/>
    <xf numFmtId="0" fontId="9" fillId="0" borderId="0" xfId="0" applyFont="1" applyFill="1" applyBorder="1" applyAlignment="1">
      <alignment vertical="center"/>
    </xf>
    <xf numFmtId="3" fontId="12" fillId="0" borderId="0" xfId="0" applyNumberFormat="1" applyFont="1" applyFill="1" applyAlignment="1">
      <alignment vertical="center"/>
    </xf>
    <xf numFmtId="3" fontId="11" fillId="0" borderId="0" xfId="0" applyNumberFormat="1" applyFont="1" applyFill="1" applyAlignment="1">
      <alignment vertical="center"/>
    </xf>
    <xf numFmtId="164" fontId="10" fillId="0" borderId="0" xfId="0" applyNumberFormat="1" applyFont="1"/>
    <xf numFmtId="164" fontId="10" fillId="0" borderId="0" xfId="0" applyNumberFormat="1" applyFont="1" applyAlignment="1">
      <alignment horizontal="right"/>
    </xf>
    <xf numFmtId="0" fontId="11" fillId="0" borderId="0" xfId="0" applyFont="1" applyBorder="1"/>
    <xf numFmtId="0" fontId="12" fillId="0" borderId="0" xfId="0" applyFont="1" applyFill="1"/>
    <xf numFmtId="3" fontId="16" fillId="0" borderId="0" xfId="0" applyNumberFormat="1" applyFont="1" applyBorder="1" applyAlignment="1">
      <alignment horizontal="right" vertical="center"/>
    </xf>
    <xf numFmtId="0" fontId="10" fillId="0" borderId="0" xfId="0" applyFont="1" applyFill="1" applyAlignment="1">
      <alignment horizontal="left" vertical="center"/>
    </xf>
    <xf numFmtId="165" fontId="12" fillId="0" borderId="0" xfId="14" applyNumberFormat="1" applyFont="1"/>
    <xf numFmtId="3" fontId="10" fillId="0" borderId="0" xfId="0" applyNumberFormat="1" applyFont="1" applyFill="1" applyAlignment="1">
      <alignment horizontal="right" vertical="center"/>
    </xf>
    <xf numFmtId="3" fontId="10" fillId="0" borderId="0" xfId="0" applyNumberFormat="1" applyFont="1" applyFill="1"/>
    <xf numFmtId="165" fontId="10" fillId="0" borderId="0" xfId="0" applyNumberFormat="1" applyFont="1"/>
    <xf numFmtId="3" fontId="12" fillId="0" borderId="0" xfId="14" applyNumberFormat="1" applyFont="1"/>
    <xf numFmtId="3" fontId="11" fillId="0" borderId="0" xfId="14" applyNumberFormat="1" applyFont="1"/>
    <xf numFmtId="0" fontId="16" fillId="0" borderId="0" xfId="0" applyFont="1" applyBorder="1" applyAlignment="1">
      <alignment vertical="center"/>
    </xf>
    <xf numFmtId="3" fontId="16" fillId="0" borderId="0" xfId="0" quotePrefix="1" applyNumberFormat="1" applyFont="1" applyBorder="1" applyAlignment="1">
      <alignment vertical="center"/>
    </xf>
    <xf numFmtId="0" fontId="20" fillId="0" borderId="0" xfId="0" applyFont="1" applyAlignment="1">
      <alignment vertical="center"/>
    </xf>
    <xf numFmtId="0" fontId="22" fillId="0" borderId="0" xfId="0" applyFont="1" applyAlignment="1">
      <alignment vertical="center"/>
    </xf>
    <xf numFmtId="0" fontId="20" fillId="0" borderId="0" xfId="0" applyFont="1" applyAlignment="1">
      <alignment horizontal="right" vertical="center"/>
    </xf>
    <xf numFmtId="0" fontId="19" fillId="0" borderId="0" xfId="0" applyFont="1" applyAlignment="1">
      <alignment vertical="center"/>
    </xf>
    <xf numFmtId="0" fontId="0" fillId="0" borderId="0" xfId="0" applyFill="1" applyAlignment="1">
      <alignment vertical="center"/>
    </xf>
    <xf numFmtId="165" fontId="16" fillId="0" borderId="0" xfId="15" applyNumberFormat="1" applyFont="1" applyFill="1" applyBorder="1" applyAlignment="1">
      <alignment horizontal="right" vertical="center"/>
    </xf>
    <xf numFmtId="0" fontId="30"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49" fontId="10" fillId="0" borderId="0" xfId="0" applyNumberFormat="1" applyFont="1" applyFill="1" applyAlignment="1">
      <alignment textRotation="90"/>
    </xf>
    <xf numFmtId="0" fontId="10" fillId="0" borderId="0" xfId="0" applyFont="1" applyFill="1" applyAlignment="1">
      <alignment textRotation="90"/>
    </xf>
    <xf numFmtId="164" fontId="10" fillId="0" borderId="0" xfId="0" applyNumberFormat="1" applyFont="1" applyFill="1"/>
    <xf numFmtId="165" fontId="12" fillId="0" borderId="0" xfId="0" applyNumberFormat="1" applyFont="1"/>
    <xf numFmtId="0" fontId="9" fillId="0" borderId="0" xfId="0" applyFont="1" applyFill="1" applyBorder="1" applyAlignment="1">
      <alignment horizontal="left" vertical="center" wrapText="1"/>
    </xf>
    <xf numFmtId="0" fontId="12" fillId="0" borderId="0" xfId="0" applyFont="1" applyBorder="1" applyAlignment="1">
      <alignment horizontal="left" vertical="center"/>
    </xf>
    <xf numFmtId="0" fontId="12" fillId="0" borderId="0" xfId="0" applyFont="1" applyFill="1" applyBorder="1" applyAlignment="1">
      <alignment horizontal="left" vertical="center"/>
    </xf>
    <xf numFmtId="3" fontId="16" fillId="0" borderId="0" xfId="2" applyNumberFormat="1" applyFont="1" applyFill="1" applyBorder="1" applyAlignment="1">
      <alignment vertical="center"/>
    </xf>
    <xf numFmtId="3" fontId="21" fillId="0" borderId="0" xfId="0" applyNumberFormat="1" applyFont="1" applyFill="1" applyAlignment="1">
      <alignment horizontal="right" vertical="center"/>
    </xf>
    <xf numFmtId="0" fontId="7" fillId="0" borderId="0" xfId="0" applyFont="1" applyBorder="1" applyAlignment="1">
      <alignment vertical="center"/>
    </xf>
    <xf numFmtId="0" fontId="10" fillId="0" borderId="0" xfId="0" applyFont="1" applyFill="1" applyBorder="1" applyAlignment="1">
      <alignment horizontal="right" vertical="center"/>
    </xf>
    <xf numFmtId="0" fontId="12" fillId="0" borderId="0" xfId="0" applyFont="1" applyFill="1" applyBorder="1"/>
    <xf numFmtId="3" fontId="10" fillId="0" borderId="0" xfId="2" applyNumberFormat="1" applyFont="1" applyFill="1" applyBorder="1" applyAlignment="1">
      <alignment vertical="center"/>
    </xf>
    <xf numFmtId="165" fontId="10" fillId="0" borderId="0" xfId="14" applyNumberFormat="1" applyFont="1" applyFill="1" applyBorder="1" applyAlignment="1">
      <alignment vertical="center"/>
    </xf>
    <xf numFmtId="165" fontId="16" fillId="0" borderId="0" xfId="14" applyNumberFormat="1" applyFont="1" applyFill="1" applyBorder="1" applyAlignment="1">
      <alignment vertical="center"/>
    </xf>
    <xf numFmtId="0" fontId="12" fillId="0" borderId="0" xfId="0" applyFont="1" applyFill="1" applyBorder="1" applyAlignment="1">
      <alignment vertical="center"/>
    </xf>
    <xf numFmtId="3" fontId="11" fillId="0" borderId="0" xfId="2" applyNumberFormat="1" applyFont="1" applyFill="1" applyBorder="1" applyAlignment="1">
      <alignment horizontal="right" vertical="center"/>
    </xf>
    <xf numFmtId="3" fontId="10" fillId="0" borderId="0" xfId="2" applyNumberFormat="1" applyFont="1" applyFill="1" applyBorder="1" applyAlignment="1">
      <alignment horizontal="right" vertical="center"/>
    </xf>
    <xf numFmtId="0" fontId="9" fillId="0" borderId="0" xfId="0" applyFont="1" applyBorder="1" applyAlignment="1">
      <alignment horizontal="left" vertical="center"/>
    </xf>
    <xf numFmtId="3" fontId="10" fillId="0" borderId="0" xfId="3" applyNumberFormat="1" applyFont="1" applyFill="1" applyBorder="1" applyAlignment="1">
      <alignment horizontal="right" vertical="center"/>
    </xf>
    <xf numFmtId="3" fontId="16" fillId="0" borderId="0" xfId="3" applyNumberFormat="1" applyFont="1" applyFill="1" applyBorder="1" applyAlignment="1">
      <alignment horizontal="right" vertical="center"/>
    </xf>
    <xf numFmtId="0" fontId="12" fillId="0" borderId="0" xfId="0" applyFont="1" applyAlignment="1">
      <alignment horizontal="left"/>
    </xf>
    <xf numFmtId="0" fontId="12" fillId="0" borderId="0" xfId="0" applyFont="1" applyBorder="1" applyAlignment="1"/>
    <xf numFmtId="3" fontId="16" fillId="0" borderId="0" xfId="0" applyNumberFormat="1" applyFont="1" applyFill="1" applyBorder="1" applyAlignment="1">
      <alignment horizontal="right" vertical="center"/>
    </xf>
    <xf numFmtId="3" fontId="10" fillId="0" borderId="0" xfId="7" applyNumberFormat="1" applyFont="1" applyFill="1" applyBorder="1" applyAlignment="1">
      <alignment horizontal="right" vertical="center" wrapText="1"/>
    </xf>
    <xf numFmtId="0" fontId="12" fillId="0" borderId="0" xfId="0" applyFont="1" applyAlignment="1">
      <alignment horizontal="left" wrapText="1"/>
    </xf>
    <xf numFmtId="165" fontId="12" fillId="0" borderId="0" xfId="15" quotePrefix="1" applyNumberFormat="1" applyFont="1" applyAlignment="1">
      <alignment horizontal="right" vertical="center"/>
    </xf>
    <xf numFmtId="0" fontId="12" fillId="0" borderId="0" xfId="0" applyFont="1" applyBorder="1" applyAlignment="1">
      <alignment horizontal="left" vertical="center" wrapText="1"/>
    </xf>
    <xf numFmtId="165" fontId="10" fillId="0" borderId="0" xfId="0" applyNumberFormat="1" applyFont="1" applyFill="1" applyBorder="1" applyAlignment="1">
      <alignment horizontal="right"/>
    </xf>
    <xf numFmtId="0" fontId="16" fillId="0" borderId="0" xfId="0" applyFont="1" applyFill="1" applyAlignment="1">
      <alignment horizontal="left" vertical="center"/>
    </xf>
    <xf numFmtId="165" fontId="10" fillId="0" borderId="0" xfId="15" applyNumberFormat="1" applyFont="1" applyFill="1" applyBorder="1" applyAlignment="1">
      <alignment horizontal="right" vertical="center"/>
    </xf>
    <xf numFmtId="3" fontId="10" fillId="0" borderId="0" xfId="15" applyNumberFormat="1" applyFont="1" applyFill="1" applyBorder="1" applyAlignment="1">
      <alignment horizontal="right" vertical="center"/>
    </xf>
    <xf numFmtId="165" fontId="10" fillId="0" borderId="0" xfId="3" applyNumberFormat="1" applyFont="1" applyFill="1" applyBorder="1" applyAlignment="1">
      <alignment horizontal="right" vertical="center"/>
    </xf>
    <xf numFmtId="165" fontId="16" fillId="0" borderId="0" xfId="3" applyNumberFormat="1" applyFont="1" applyFill="1" applyBorder="1" applyAlignment="1">
      <alignment horizontal="right" vertical="center"/>
    </xf>
    <xf numFmtId="10" fontId="10" fillId="0" borderId="0" xfId="3" applyNumberFormat="1" applyFont="1" applyFill="1" applyBorder="1" applyAlignment="1">
      <alignment horizontal="right" vertical="center"/>
    </xf>
    <xf numFmtId="3" fontId="21" fillId="0" borderId="0" xfId="15" applyNumberFormat="1" applyFont="1" applyFill="1" applyAlignment="1">
      <alignment vertical="center"/>
    </xf>
    <xf numFmtId="164" fontId="12" fillId="0" borderId="0" xfId="0" applyNumberFormat="1" applyFont="1" applyBorder="1" applyAlignment="1">
      <alignment horizontal="center" vertical="center"/>
    </xf>
    <xf numFmtId="0" fontId="0" fillId="0" borderId="0" xfId="0" applyBorder="1" applyAlignment="1">
      <alignment vertical="center"/>
    </xf>
    <xf numFmtId="165" fontId="10" fillId="0" borderId="0" xfId="14" applyNumberFormat="1" applyFont="1" applyBorder="1" applyAlignment="1">
      <alignment horizontal="right" vertical="center"/>
    </xf>
    <xf numFmtId="0" fontId="18" fillId="0" borderId="0" xfId="0" applyFont="1" applyAlignment="1"/>
    <xf numFmtId="3" fontId="12" fillId="0" borderId="0" xfId="0" applyNumberFormat="1" applyFont="1"/>
    <xf numFmtId="3" fontId="16" fillId="0" borderId="0" xfId="0" applyNumberFormat="1" applyFont="1" applyFill="1"/>
    <xf numFmtId="3" fontId="12" fillId="0" borderId="0" xfId="0" applyNumberFormat="1" applyFont="1" applyFill="1"/>
    <xf numFmtId="3" fontId="10" fillId="0" borderId="0" xfId="14" applyNumberFormat="1" applyFont="1" applyFill="1"/>
    <xf numFmtId="3" fontId="10" fillId="0" borderId="0" xfId="14" applyNumberFormat="1" applyFont="1" applyFill="1" applyBorder="1" applyAlignment="1">
      <alignment vertical="center"/>
    </xf>
    <xf numFmtId="0" fontId="12" fillId="0" borderId="0" xfId="0" applyFont="1" applyBorder="1" applyAlignment="1">
      <alignment horizontal="right" vertical="center"/>
    </xf>
    <xf numFmtId="3" fontId="10" fillId="0" borderId="0" xfId="0" applyNumberFormat="1" applyFont="1" applyFill="1" applyAlignment="1">
      <alignment horizontal="right" vertical="center" wrapText="1"/>
    </xf>
    <xf numFmtId="3" fontId="16" fillId="0" borderId="0" xfId="2" applyNumberFormat="1" applyFont="1" applyFill="1" applyBorder="1" applyAlignment="1">
      <alignment horizontal="right" vertical="center"/>
    </xf>
    <xf numFmtId="3" fontId="16" fillId="0" borderId="0" xfId="0" applyNumberFormat="1" applyFont="1" applyFill="1" applyAlignment="1">
      <alignment horizontal="right" vertical="center" wrapText="1"/>
    </xf>
    <xf numFmtId="0" fontId="9" fillId="0" borderId="0" xfId="0" applyFont="1" applyFill="1" applyBorder="1"/>
    <xf numFmtId="3" fontId="12" fillId="0" borderId="0" xfId="0" applyNumberFormat="1" applyFont="1" applyFill="1" applyAlignment="1">
      <alignment horizontal="right" vertical="center"/>
    </xf>
    <xf numFmtId="165" fontId="16" fillId="0" borderId="0" xfId="0" applyNumberFormat="1" applyFont="1" applyFill="1"/>
    <xf numFmtId="0" fontId="7" fillId="0" borderId="0" xfId="0" applyFont="1" applyFill="1" applyAlignment="1">
      <alignment vertical="center"/>
    </xf>
    <xf numFmtId="49" fontId="31" fillId="0" borderId="0" xfId="0" applyNumberFormat="1" applyFont="1" applyFill="1" applyAlignment="1">
      <alignment horizontal="right" vertical="center" wrapText="1"/>
    </xf>
    <xf numFmtId="0" fontId="18" fillId="0" borderId="0" xfId="0" applyFont="1" applyFill="1"/>
    <xf numFmtId="0" fontId="10" fillId="0" borderId="0" xfId="0" applyFont="1" applyFill="1" applyAlignment="1">
      <alignment horizontal="right"/>
    </xf>
    <xf numFmtId="0" fontId="8" fillId="0" borderId="0" xfId="0" applyFont="1" applyFill="1" applyBorder="1" applyAlignment="1">
      <alignment vertical="center"/>
    </xf>
    <xf numFmtId="3" fontId="16" fillId="0" borderId="0" xfId="0" applyNumberFormat="1" applyFont="1" applyFill="1" applyAlignment="1">
      <alignment horizontal="right" vertical="center"/>
    </xf>
    <xf numFmtId="49" fontId="10" fillId="0" borderId="0" xfId="0" applyNumberFormat="1" applyFont="1"/>
    <xf numFmtId="0" fontId="16" fillId="0" borderId="0" xfId="0" applyFont="1" applyFill="1" applyAlignment="1">
      <alignment horizontal="right"/>
    </xf>
    <xf numFmtId="0" fontId="10" fillId="0" borderId="0" xfId="0" applyFont="1" applyBorder="1" applyAlignment="1"/>
    <xf numFmtId="0" fontId="10" fillId="0" borderId="0" xfId="0" applyFont="1" applyFill="1" applyBorder="1" applyAlignment="1">
      <alignment horizontal="left" vertical="center" indent="1"/>
    </xf>
    <xf numFmtId="0" fontId="12" fillId="0" borderId="0" xfId="0" applyFont="1" applyFill="1" applyBorder="1" applyAlignment="1">
      <alignment horizontal="left" vertical="center" indent="1"/>
    </xf>
    <xf numFmtId="165" fontId="16" fillId="0" borderId="0" xfId="0" applyNumberFormat="1" applyFont="1"/>
    <xf numFmtId="0" fontId="7" fillId="0" borderId="0" xfId="0" applyFont="1" applyAlignment="1">
      <alignment vertical="center"/>
    </xf>
    <xf numFmtId="3" fontId="16" fillId="0" borderId="0" xfId="0" applyNumberFormat="1" applyFont="1" applyFill="1" applyBorder="1"/>
    <xf numFmtId="3" fontId="10" fillId="0" borderId="0" xfId="0" applyNumberFormat="1" applyFont="1" applyFill="1" applyAlignment="1">
      <alignment horizontal="right"/>
    </xf>
    <xf numFmtId="164" fontId="10" fillId="0" borderId="0" xfId="3" applyNumberFormat="1" applyFont="1" applyFill="1" applyBorder="1" applyAlignment="1">
      <alignment horizontal="right" vertical="center"/>
    </xf>
    <xf numFmtId="164" fontId="16" fillId="0" borderId="0" xfId="3" applyNumberFormat="1" applyFont="1" applyFill="1" applyBorder="1" applyAlignment="1">
      <alignment horizontal="right" vertical="center"/>
    </xf>
    <xf numFmtId="3" fontId="11" fillId="0" borderId="0" xfId="0" applyNumberFormat="1" applyFont="1" applyFill="1"/>
    <xf numFmtId="3" fontId="16" fillId="0" borderId="0" xfId="0" applyNumberFormat="1" applyFont="1" applyFill="1" applyAlignment="1">
      <alignment horizontal="right"/>
    </xf>
    <xf numFmtId="166" fontId="12" fillId="0" borderId="0" xfId="0" applyNumberFormat="1" applyFont="1" applyFill="1"/>
    <xf numFmtId="166" fontId="12" fillId="0" borderId="0" xfId="0" applyNumberFormat="1" applyFont="1" applyFill="1" applyAlignment="1">
      <alignment horizontal="right"/>
    </xf>
    <xf numFmtId="0" fontId="34" fillId="0" borderId="0" xfId="0" applyFont="1" applyAlignment="1">
      <alignment vertical="center"/>
    </xf>
    <xf numFmtId="165" fontId="16" fillId="0" borderId="0" xfId="14" applyNumberFormat="1" applyFont="1" applyBorder="1" applyAlignment="1">
      <alignment horizontal="right" vertical="center"/>
    </xf>
    <xf numFmtId="165" fontId="11" fillId="0" borderId="0" xfId="15" quotePrefix="1" applyNumberFormat="1" applyFont="1" applyAlignment="1">
      <alignment horizontal="right" vertical="center"/>
    </xf>
    <xf numFmtId="0" fontId="21" fillId="0" borderId="0" xfId="0" applyFont="1" applyFill="1"/>
    <xf numFmtId="3" fontId="11" fillId="0" borderId="0" xfId="0" applyNumberFormat="1" applyFont="1"/>
    <xf numFmtId="0" fontId="36" fillId="0" borderId="0" xfId="0" applyFont="1" applyAlignment="1">
      <alignment horizontal="center" vertical="center"/>
    </xf>
    <xf numFmtId="0" fontId="37" fillId="0" borderId="0" xfId="0" applyFont="1"/>
    <xf numFmtId="0" fontId="38" fillId="0" borderId="0" xfId="0" applyFont="1" applyAlignment="1">
      <alignment horizontal="center" vertical="center"/>
    </xf>
    <xf numFmtId="165" fontId="12" fillId="0" borderId="0" xfId="0" applyNumberFormat="1" applyFont="1" applyFill="1" applyBorder="1" applyProtection="1"/>
    <xf numFmtId="3" fontId="10" fillId="0" borderId="0" xfId="0" applyNumberFormat="1" applyFont="1" applyFill="1" applyBorder="1" applyProtection="1"/>
    <xf numFmtId="0" fontId="41" fillId="0" borderId="0" xfId="0" applyFont="1"/>
    <xf numFmtId="0" fontId="42" fillId="0" borderId="0" xfId="0" applyFont="1"/>
    <xf numFmtId="0" fontId="42" fillId="0" borderId="0" xfId="0" applyFont="1" applyAlignment="1">
      <alignment vertical="center"/>
    </xf>
    <xf numFmtId="0" fontId="35" fillId="0" borderId="0" xfId="0" applyFont="1" applyAlignment="1">
      <alignment vertical="center"/>
    </xf>
    <xf numFmtId="0" fontId="0" fillId="0" borderId="0" xfId="0" applyAlignment="1">
      <alignment horizontal="left" vertical="center"/>
    </xf>
    <xf numFmtId="0" fontId="0" fillId="0" borderId="0" xfId="0" applyFont="1" applyAlignment="1">
      <alignment horizontal="left" vertical="center"/>
    </xf>
    <xf numFmtId="0" fontId="43" fillId="0" borderId="0" xfId="0" applyFont="1" applyAlignment="1">
      <alignment horizontal="left" vertical="center" wrapText="1"/>
    </xf>
    <xf numFmtId="0" fontId="44"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Fill="1" applyAlignment="1">
      <alignment vertical="center"/>
    </xf>
    <xf numFmtId="0" fontId="35" fillId="0" borderId="0" xfId="0" applyFont="1" applyAlignment="1">
      <alignment horizontal="right" vertical="center" wrapText="1"/>
    </xf>
    <xf numFmtId="0" fontId="34" fillId="0" borderId="0" xfId="0" applyFont="1" applyAlignment="1">
      <alignment horizontal="right" vertical="center" wrapText="1"/>
    </xf>
    <xf numFmtId="0" fontId="2" fillId="0" borderId="0" xfId="0" applyFont="1" applyFill="1" applyAlignment="1">
      <alignment vertical="center" wrapText="1"/>
    </xf>
    <xf numFmtId="0" fontId="34" fillId="0" borderId="0" xfId="0" applyFont="1" applyAlignment="1">
      <alignment vertical="center" wrapText="1"/>
    </xf>
    <xf numFmtId="0" fontId="45" fillId="0" borderId="0" xfId="0" applyFont="1" applyAlignment="1">
      <alignment vertical="center"/>
    </xf>
    <xf numFmtId="0" fontId="45" fillId="0" borderId="0" xfId="0" applyFont="1" applyAlignment="1">
      <alignment vertical="center" wrapText="1"/>
    </xf>
    <xf numFmtId="0" fontId="39" fillId="0" borderId="0" xfId="0" applyFont="1" applyAlignment="1">
      <alignment vertical="center"/>
    </xf>
    <xf numFmtId="0" fontId="34" fillId="0" borderId="0" xfId="0" applyFont="1" applyBorder="1" applyAlignment="1">
      <alignment vertical="center"/>
    </xf>
    <xf numFmtId="0" fontId="0" fillId="0" borderId="0" xfId="0" applyAlignment="1">
      <alignment vertical="center" wrapText="1"/>
    </xf>
    <xf numFmtId="0" fontId="47" fillId="0" borderId="0" xfId="0" applyFont="1" applyAlignment="1">
      <alignment vertical="center"/>
    </xf>
    <xf numFmtId="0" fontId="47" fillId="0" borderId="0" xfId="0" applyFont="1" applyAlignment="1">
      <alignment horizontal="right" vertical="center"/>
    </xf>
    <xf numFmtId="0" fontId="40" fillId="0" borderId="0" xfId="0" applyFont="1" applyAlignment="1">
      <alignment vertical="center"/>
    </xf>
    <xf numFmtId="0" fontId="40" fillId="0" borderId="0" xfId="0" applyFont="1" applyAlignment="1">
      <alignment horizontal="right" vertical="center"/>
    </xf>
    <xf numFmtId="0" fontId="48" fillId="0" borderId="0" xfId="0" applyFont="1" applyAlignment="1">
      <alignment vertical="center"/>
    </xf>
    <xf numFmtId="0" fontId="49" fillId="0" borderId="0" xfId="0" applyFont="1" applyAlignment="1">
      <alignment vertical="center"/>
    </xf>
    <xf numFmtId="0" fontId="49" fillId="0" borderId="0" xfId="0" applyFont="1" applyAlignment="1">
      <alignment horizontal="right" vertical="center"/>
    </xf>
    <xf numFmtId="0" fontId="53" fillId="0" borderId="0" xfId="0" applyFont="1" applyAlignment="1">
      <alignment vertical="center"/>
    </xf>
    <xf numFmtId="0" fontId="53" fillId="0" borderId="0" xfId="0" applyFont="1" applyAlignment="1">
      <alignment horizontal="right" vertical="center"/>
    </xf>
    <xf numFmtId="0" fontId="12" fillId="0" borderId="0" xfId="0" applyFont="1" applyFill="1" applyBorder="1" applyAlignment="1" applyProtection="1"/>
    <xf numFmtId="0" fontId="10"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2" fillId="0" borderId="0" xfId="0" applyFont="1" applyFill="1" applyBorder="1" applyAlignment="1" applyProtection="1">
      <alignment vertical="center" wrapText="1"/>
    </xf>
    <xf numFmtId="0" fontId="12" fillId="0" borderId="0" xfId="0" applyFont="1" applyBorder="1" applyAlignment="1">
      <alignment vertical="center"/>
    </xf>
    <xf numFmtId="0" fontId="8" fillId="0" borderId="0" xfId="0" applyFont="1" applyAlignment="1">
      <alignment vertical="center" wrapText="1"/>
    </xf>
    <xf numFmtId="0" fontId="8" fillId="0" borderId="0" xfId="0" applyFont="1" applyAlignment="1">
      <alignment vertical="center"/>
    </xf>
    <xf numFmtId="3" fontId="32" fillId="0" borderId="0" xfId="0" applyNumberFormat="1" applyFont="1"/>
    <xf numFmtId="0" fontId="57" fillId="0" borderId="0" xfId="0" applyFont="1" applyAlignment="1">
      <alignment vertical="center"/>
    </xf>
    <xf numFmtId="0" fontId="58" fillId="0" borderId="0" xfId="0" applyFont="1" applyAlignment="1">
      <alignment vertical="center"/>
    </xf>
    <xf numFmtId="0" fontId="57" fillId="0" borderId="0" xfId="0" applyFont="1" applyFill="1" applyAlignment="1">
      <alignment vertical="center"/>
    </xf>
    <xf numFmtId="0" fontId="18" fillId="0" borderId="0" xfId="0" applyFont="1"/>
    <xf numFmtId="0" fontId="59" fillId="0" borderId="0" xfId="0" applyFont="1"/>
    <xf numFmtId="0" fontId="18" fillId="0" borderId="0" xfId="0" applyFont="1" applyAlignment="1">
      <alignment horizontal="right"/>
    </xf>
    <xf numFmtId="3" fontId="18" fillId="0" borderId="0" xfId="0" applyNumberFormat="1" applyFont="1"/>
    <xf numFmtId="0" fontId="21" fillId="0" borderId="0" xfId="0" applyFont="1"/>
    <xf numFmtId="0" fontId="18" fillId="0" borderId="0" xfId="0" applyFont="1" applyBorder="1"/>
    <xf numFmtId="0" fontId="18" fillId="0" borderId="0" xfId="0" applyFont="1" applyFill="1" applyBorder="1"/>
    <xf numFmtId="49" fontId="18" fillId="0" borderId="0" xfId="0" applyNumberFormat="1" applyFont="1" applyFill="1" applyAlignment="1">
      <alignment textRotation="90"/>
    </xf>
    <xf numFmtId="0" fontId="18" fillId="0" borderId="0" xfId="0" applyFont="1" applyFill="1" applyAlignment="1">
      <alignment textRotation="90"/>
    </xf>
    <xf numFmtId="164" fontId="18" fillId="0" borderId="0" xfId="0" applyNumberFormat="1" applyFont="1" applyFill="1"/>
    <xf numFmtId="49" fontId="18" fillId="0" borderId="0" xfId="0" applyNumberFormat="1" applyFont="1" applyFill="1"/>
    <xf numFmtId="49" fontId="18" fillId="0" borderId="0" xfId="0" applyNumberFormat="1" applyFont="1" applyFill="1" applyAlignment="1">
      <alignment horizontal="center" vertical="center" wrapText="1"/>
    </xf>
    <xf numFmtId="3" fontId="21" fillId="0" borderId="0" xfId="3" applyNumberFormat="1" applyFont="1" applyFill="1" applyBorder="1" applyAlignment="1">
      <alignment vertical="center"/>
    </xf>
    <xf numFmtId="3" fontId="18" fillId="0" borderId="0" xfId="0" applyNumberFormat="1" applyFont="1" applyFill="1" applyBorder="1"/>
    <xf numFmtId="3" fontId="18" fillId="0" borderId="0" xfId="0" applyNumberFormat="1" applyFont="1" applyFill="1" applyBorder="1" applyAlignment="1">
      <alignment horizontal="center" vertical="center" wrapText="1"/>
    </xf>
    <xf numFmtId="3" fontId="18" fillId="0" borderId="0" xfId="0" applyNumberFormat="1" applyFont="1" applyFill="1" applyBorder="1" applyAlignment="1">
      <alignment horizontal="right" vertical="center" wrapText="1"/>
    </xf>
    <xf numFmtId="17" fontId="18" fillId="0" borderId="0" xfId="0" applyNumberFormat="1" applyFont="1" applyFill="1" applyBorder="1" applyAlignment="1">
      <alignment horizontal="right" vertical="center" wrapText="1"/>
    </xf>
    <xf numFmtId="0" fontId="57" fillId="0" borderId="0" xfId="0" applyFont="1"/>
    <xf numFmtId="0" fontId="18" fillId="0" borderId="0" xfId="0" applyFont="1" applyAlignment="1">
      <alignment horizontal="left"/>
    </xf>
    <xf numFmtId="3" fontId="18" fillId="0" borderId="0" xfId="0" applyNumberFormat="1" applyFont="1" applyAlignment="1">
      <alignment horizontal="left"/>
    </xf>
    <xf numFmtId="0" fontId="18" fillId="0" borderId="0" xfId="0" applyFont="1" applyFill="1" applyBorder="1" applyAlignment="1">
      <alignment horizontal="left"/>
    </xf>
    <xf numFmtId="0" fontId="18" fillId="0" borderId="0" xfId="0" applyFont="1" applyFill="1" applyAlignment="1">
      <alignment horizontal="left"/>
    </xf>
    <xf numFmtId="0" fontId="18" fillId="0" borderId="0" xfId="0" applyFont="1" applyBorder="1" applyAlignment="1">
      <alignment horizontal="left"/>
    </xf>
    <xf numFmtId="49" fontId="18" fillId="0" borderId="0" xfId="0" applyNumberFormat="1" applyFont="1" applyFill="1" applyAlignment="1">
      <alignment horizontal="left" textRotation="90"/>
    </xf>
    <xf numFmtId="164" fontId="18" fillId="0" borderId="0" xfId="0" applyNumberFormat="1" applyFont="1" applyFill="1" applyAlignment="1">
      <alignment horizontal="left"/>
    </xf>
    <xf numFmtId="3" fontId="18" fillId="0" borderId="0" xfId="3" applyNumberFormat="1" applyFont="1" applyFill="1" applyBorder="1" applyAlignment="1">
      <alignment horizontal="left" vertical="center"/>
    </xf>
    <xf numFmtId="3" fontId="18" fillId="0" borderId="0" xfId="0" applyNumberFormat="1" applyFont="1" applyFill="1" applyBorder="1" applyAlignment="1">
      <alignment horizontal="left" vertical="center" wrapText="1"/>
    </xf>
    <xf numFmtId="0" fontId="18" fillId="0" borderId="0" xfId="0" applyFont="1" applyAlignment="1">
      <alignment horizontal="right" vertical="center"/>
    </xf>
    <xf numFmtId="17" fontId="18" fillId="0" borderId="0" xfId="0" applyNumberFormat="1" applyFont="1" applyFill="1" applyBorder="1"/>
    <xf numFmtId="3" fontId="18" fillId="0" borderId="0" xfId="0" applyNumberFormat="1" applyFont="1" applyFill="1" applyBorder="1" applyAlignment="1">
      <alignment horizontal="left"/>
    </xf>
    <xf numFmtId="0" fontId="21" fillId="0" borderId="0" xfId="0" applyFont="1" applyFill="1" applyBorder="1" applyAlignment="1">
      <alignment vertical="center"/>
    </xf>
    <xf numFmtId="0" fontId="57" fillId="0" borderId="0" xfId="0" applyFont="1" applyAlignment="1">
      <alignment vertical="center" wrapText="1"/>
    </xf>
    <xf numFmtId="0" fontId="57" fillId="0" borderId="0" xfId="0" applyFont="1" applyBorder="1" applyAlignment="1">
      <alignment vertical="center"/>
    </xf>
    <xf numFmtId="0" fontId="57" fillId="0" borderId="0" xfId="0" applyFont="1" applyFill="1" applyBorder="1" applyAlignment="1">
      <alignment vertical="center"/>
    </xf>
    <xf numFmtId="0" fontId="57" fillId="0" borderId="0" xfId="0" applyFont="1" applyFill="1" applyAlignment="1">
      <alignment vertical="center" wrapText="1"/>
    </xf>
    <xf numFmtId="0" fontId="57" fillId="0" borderId="0" xfId="0" applyFont="1" applyFill="1" applyAlignment="1"/>
    <xf numFmtId="0" fontId="55" fillId="0" borderId="0" xfId="0" applyFont="1" applyAlignment="1">
      <alignment vertical="center"/>
    </xf>
    <xf numFmtId="165" fontId="10" fillId="0" borderId="0" xfId="0" applyNumberFormat="1" applyFont="1" applyFill="1"/>
    <xf numFmtId="0" fontId="9" fillId="0" borderId="0" xfId="0" applyFont="1" applyAlignment="1">
      <alignment horizontal="left" vertical="center"/>
    </xf>
    <xf numFmtId="165" fontId="10" fillId="0" borderId="0" xfId="14" applyNumberFormat="1" applyFont="1" applyFill="1"/>
    <xf numFmtId="165" fontId="16" fillId="0" borderId="0" xfId="14" applyNumberFormat="1" applyFont="1" applyFill="1"/>
    <xf numFmtId="165" fontId="24" fillId="0" borderId="0" xfId="14" applyNumberFormat="1" applyFont="1" applyFill="1"/>
    <xf numFmtId="0" fontId="17" fillId="0" borderId="0" xfId="0" applyFont="1"/>
    <xf numFmtId="0" fontId="0" fillId="0" borderId="0" xfId="0" applyFill="1"/>
    <xf numFmtId="0" fontId="12" fillId="0" borderId="0" xfId="0" applyFont="1" applyFill="1" applyAlignment="1">
      <alignment horizontal="left" vertical="center"/>
    </xf>
    <xf numFmtId="165" fontId="10" fillId="0" borderId="0" xfId="0" applyNumberFormat="1" applyFont="1" applyFill="1" applyBorder="1" applyAlignment="1">
      <alignment vertical="center"/>
    </xf>
    <xf numFmtId="0" fontId="16" fillId="0" borderId="0" xfId="0" applyFont="1" applyFill="1" applyAlignment="1">
      <alignment vertical="center"/>
    </xf>
    <xf numFmtId="3" fontId="12" fillId="0" borderId="0" xfId="2" applyNumberFormat="1" applyFont="1" applyFill="1" applyBorder="1" applyAlignment="1">
      <alignment vertical="center"/>
    </xf>
    <xf numFmtId="11" fontId="16" fillId="0" borderId="0" xfId="0" applyNumberFormat="1" applyFont="1" applyFill="1" applyBorder="1" applyAlignment="1">
      <alignment horizontal="left" vertical="center"/>
    </xf>
    <xf numFmtId="0" fontId="7" fillId="0" borderId="0" xfId="0" applyFont="1" applyFill="1"/>
    <xf numFmtId="3" fontId="7" fillId="0" borderId="0" xfId="0" applyNumberFormat="1" applyFont="1" applyFill="1" applyBorder="1"/>
    <xf numFmtId="9" fontId="10" fillId="0" borderId="0" xfId="14" applyFont="1"/>
    <xf numFmtId="0" fontId="42" fillId="0" borderId="0" xfId="0" applyFont="1" applyFill="1" applyAlignment="1">
      <alignment vertical="center"/>
    </xf>
    <xf numFmtId="0" fontId="13" fillId="0" borderId="0" xfId="0" applyFont="1" applyFill="1" applyAlignment="1">
      <alignment vertical="center"/>
    </xf>
    <xf numFmtId="0" fontId="18" fillId="0" borderId="0" xfId="0" applyFont="1" applyFill="1" applyBorder="1" applyAlignment="1">
      <alignment vertical="center"/>
    </xf>
    <xf numFmtId="0" fontId="15" fillId="0" borderId="0" xfId="0" applyFont="1" applyFill="1" applyBorder="1"/>
    <xf numFmtId="0" fontId="10" fillId="0" borderId="0" xfId="0" applyFont="1" applyFill="1" applyBorder="1" applyAlignment="1">
      <alignment horizontal="left"/>
    </xf>
    <xf numFmtId="0" fontId="10" fillId="0" borderId="0" xfId="0" applyFont="1" applyFill="1" applyBorder="1" applyAlignment="1">
      <alignment horizontal="right"/>
    </xf>
    <xf numFmtId="164" fontId="10" fillId="0" borderId="0" xfId="14" applyNumberFormat="1" applyFont="1" applyFill="1" applyBorder="1"/>
    <xf numFmtId="167" fontId="10" fillId="0" borderId="0" xfId="14" applyNumberFormat="1" applyFont="1" applyFill="1" applyBorder="1"/>
    <xf numFmtId="164" fontId="10" fillId="0" borderId="0" xfId="7" applyNumberFormat="1" applyFont="1" applyFill="1" applyBorder="1" applyAlignment="1">
      <alignment horizontal="right" vertical="center" wrapText="1"/>
    </xf>
    <xf numFmtId="0" fontId="7" fillId="0" borderId="0" xfId="0" applyFont="1" applyAlignment="1">
      <alignment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3" fontId="7" fillId="0" borderId="0" xfId="0" applyNumberFormat="1" applyFont="1" applyAlignment="1">
      <alignment vertical="center"/>
    </xf>
    <xf numFmtId="0" fontId="7" fillId="0" borderId="0" xfId="0" applyFont="1" applyAlignment="1">
      <alignment horizontal="right" vertical="center"/>
    </xf>
    <xf numFmtId="3" fontId="7" fillId="0" borderId="0" xfId="0" applyNumberFormat="1" applyFont="1" applyAlignment="1">
      <alignment horizontal="right" vertical="center"/>
    </xf>
    <xf numFmtId="0" fontId="17" fillId="0" borderId="0" xfId="0" applyFont="1" applyAlignment="1">
      <alignment vertical="center"/>
    </xf>
    <xf numFmtId="0" fontId="1" fillId="0" borderId="0" xfId="0" applyFont="1" applyFill="1" applyAlignment="1">
      <alignment vertical="center"/>
    </xf>
    <xf numFmtId="0" fontId="8"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Alignment="1"/>
    <xf numFmtId="9" fontId="7" fillId="0" borderId="0" xfId="14" applyFont="1"/>
    <xf numFmtId="9" fontId="8" fillId="0" borderId="0" xfId="14" applyFont="1"/>
    <xf numFmtId="0" fontId="7" fillId="0" borderId="0" xfId="0" quotePrefix="1" applyNumberFormat="1" applyFont="1" applyAlignment="1">
      <alignment horizontal="left"/>
    </xf>
    <xf numFmtId="0" fontId="7" fillId="0" borderId="0" xfId="0" applyFont="1" applyAlignment="1">
      <alignment horizontal="left"/>
    </xf>
    <xf numFmtId="3" fontId="16" fillId="0" borderId="0" xfId="2" applyNumberFormat="1" applyFont="1" applyFill="1" applyBorder="1" applyAlignment="1">
      <alignment horizontal="center" vertical="center"/>
    </xf>
    <xf numFmtId="0" fontId="7" fillId="0" borderId="0" xfId="0" quotePrefix="1" applyNumberFormat="1" applyFont="1" applyFill="1" applyAlignment="1">
      <alignment horizontal="left"/>
    </xf>
    <xf numFmtId="49" fontId="18" fillId="0" borderId="0" xfId="0" applyNumberFormat="1" applyFont="1" applyFill="1" applyAlignment="1">
      <alignment horizontal="right" vertical="center" wrapText="1"/>
    </xf>
    <xf numFmtId="3" fontId="59" fillId="0" borderId="0" xfId="0" applyNumberFormat="1" applyFont="1" applyFill="1"/>
    <xf numFmtId="0" fontId="62" fillId="0" borderId="0" xfId="0" applyFont="1" applyFill="1" applyAlignment="1">
      <alignment horizontal="center" vertical="center"/>
    </xf>
    <xf numFmtId="3" fontId="18" fillId="0" borderId="0" xfId="0" applyNumberFormat="1" applyFont="1" applyFill="1" applyAlignment="1"/>
    <xf numFmtId="3" fontId="18" fillId="0" borderId="0" xfId="2" applyNumberFormat="1" applyFont="1" applyFill="1" applyBorder="1" applyAlignment="1">
      <alignment horizontal="center" vertical="center"/>
    </xf>
    <xf numFmtId="3" fontId="10" fillId="0" borderId="0" xfId="2" applyNumberFormat="1" applyFont="1" applyFill="1" applyBorder="1" applyAlignment="1">
      <alignment horizontal="center" vertical="center"/>
    </xf>
    <xf numFmtId="0" fontId="18" fillId="0" borderId="0" xfId="0" applyFont="1" applyAlignment="1">
      <alignment vertical="center"/>
    </xf>
    <xf numFmtId="0" fontId="59" fillId="0" borderId="0" xfId="0" applyFont="1" applyAlignment="1">
      <alignment vertical="center"/>
    </xf>
    <xf numFmtId="0" fontId="18" fillId="0" borderId="0" xfId="0" applyFont="1" applyFill="1" applyAlignment="1"/>
    <xf numFmtId="0" fontId="25" fillId="0" borderId="0" xfId="0" applyFont="1" applyFill="1" applyAlignment="1">
      <alignment horizontal="center" vertical="center"/>
    </xf>
    <xf numFmtId="0" fontId="14" fillId="0" borderId="0" xfId="0" applyFont="1" applyFill="1" applyAlignment="1">
      <alignment horizontal="center" vertical="center"/>
    </xf>
    <xf numFmtId="3" fontId="10" fillId="0" borderId="0" xfId="14" applyNumberFormat="1" applyFont="1" applyBorder="1" applyAlignment="1">
      <alignment horizontal="right" vertical="center"/>
    </xf>
    <xf numFmtId="3" fontId="16" fillId="0" borderId="0" xfId="14" applyNumberFormat="1" applyFont="1" applyBorder="1" applyAlignment="1">
      <alignment horizontal="right" vertical="center"/>
    </xf>
    <xf numFmtId="0" fontId="18" fillId="0" borderId="0" xfId="0" applyFont="1" applyFill="1" applyAlignment="1">
      <alignment vertical="center"/>
    </xf>
    <xf numFmtId="0" fontId="57" fillId="0" borderId="0" xfId="0" applyFont="1" applyFill="1"/>
    <xf numFmtId="165" fontId="12" fillId="0" borderId="0" xfId="0" applyNumberFormat="1" applyFont="1" applyFill="1" applyAlignment="1">
      <alignment horizontal="right"/>
    </xf>
    <xf numFmtId="165" fontId="40" fillId="0" borderId="0" xfId="0" applyNumberFormat="1" applyFont="1" applyAlignment="1">
      <alignment horizontal="right" vertical="center"/>
    </xf>
    <xf numFmtId="0" fontId="7" fillId="0" borderId="0" xfId="0" applyNumberFormat="1" applyFont="1" applyAlignment="1"/>
    <xf numFmtId="0" fontId="61" fillId="0" borderId="0" xfId="0" applyFont="1" applyFill="1" applyBorder="1" applyAlignment="1">
      <alignment horizontal="left"/>
    </xf>
    <xf numFmtId="0" fontId="18" fillId="0" borderId="0" xfId="0" applyFont="1" applyFill="1" applyAlignment="1">
      <alignment vertical="center" wrapText="1"/>
    </xf>
    <xf numFmtId="0" fontId="18" fillId="0" borderId="0" xfId="0" applyFont="1" applyFill="1" applyAlignment="1">
      <alignment horizontal="right"/>
    </xf>
    <xf numFmtId="165" fontId="40" fillId="0" borderId="0" xfId="0" applyNumberFormat="1" applyFont="1" applyFill="1" applyAlignment="1">
      <alignment vertical="center"/>
    </xf>
    <xf numFmtId="3" fontId="12" fillId="0" borderId="0" xfId="2" applyNumberFormat="1" applyFont="1" applyFill="1" applyBorder="1" applyAlignment="1">
      <alignment horizontal="right" vertical="center"/>
    </xf>
    <xf numFmtId="9" fontId="10" fillId="0" borderId="0" xfId="0" applyNumberFormat="1" applyFont="1" applyFill="1" applyAlignment="1">
      <alignment vertical="center"/>
    </xf>
    <xf numFmtId="9" fontId="10" fillId="0" borderId="0" xfId="0" applyNumberFormat="1" applyFont="1" applyFill="1" applyAlignment="1">
      <alignment horizontal="right" vertical="center"/>
    </xf>
    <xf numFmtId="17" fontId="18" fillId="0" borderId="0" xfId="0" applyNumberFormat="1" applyFont="1" applyFill="1" applyBorder="1" applyAlignment="1"/>
    <xf numFmtId="0" fontId="21" fillId="0" borderId="0" xfId="0" applyFont="1" applyFill="1" applyAlignment="1"/>
    <xf numFmtId="164" fontId="16" fillId="0" borderId="0" xfId="0" applyNumberFormat="1" applyFont="1" applyFill="1"/>
    <xf numFmtId="165" fontId="9" fillId="0" borderId="0" xfId="14" applyNumberFormat="1" applyFont="1" applyBorder="1"/>
    <xf numFmtId="3" fontId="10" fillId="0" borderId="0" xfId="0" applyNumberFormat="1" applyFont="1" applyFill="1" applyAlignment="1"/>
    <xf numFmtId="0" fontId="59" fillId="0" borderId="0" xfId="0" applyFont="1" applyFill="1"/>
    <xf numFmtId="0" fontId="56" fillId="0" borderId="0" xfId="1" applyFill="1" applyAlignment="1" applyProtection="1"/>
    <xf numFmtId="3" fontId="18" fillId="0" borderId="0" xfId="0" applyNumberFormat="1" applyFont="1" applyFill="1"/>
    <xf numFmtId="0" fontId="7" fillId="0" borderId="0" xfId="0" applyFont="1" applyFill="1" applyAlignment="1">
      <alignment horizontal="left"/>
    </xf>
    <xf numFmtId="0" fontId="7" fillId="0" borderId="0" xfId="0" applyFont="1" applyAlignment="1">
      <alignment horizontal="left" vertical="center" wrapText="1"/>
    </xf>
    <xf numFmtId="0" fontId="7" fillId="0" borderId="0" xfId="0" quotePrefix="1" applyNumberFormat="1" applyFont="1" applyFill="1" applyBorder="1" applyAlignment="1">
      <alignment horizontal="left"/>
    </xf>
    <xf numFmtId="0" fontId="7" fillId="0" borderId="0" xfId="0" applyFont="1" applyFill="1" applyBorder="1" applyAlignment="1">
      <alignment horizontal="left"/>
    </xf>
    <xf numFmtId="0" fontId="63" fillId="0" borderId="0" xfId="0" applyFont="1" applyFill="1"/>
    <xf numFmtId="0" fontId="42" fillId="0" borderId="0" xfId="0" applyFont="1" applyFill="1"/>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justify" vertical="center"/>
    </xf>
    <xf numFmtId="0" fontId="7" fillId="0" borderId="0" xfId="0" applyFont="1" applyAlignment="1">
      <alignment horizontal="justify" vertical="center"/>
    </xf>
    <xf numFmtId="0" fontId="54" fillId="0" borderId="0" xfId="0" applyFont="1" applyAlignment="1">
      <alignment horizontal="justify" vertical="center"/>
    </xf>
    <xf numFmtId="3" fontId="10" fillId="0" borderId="0" xfId="0" applyNumberFormat="1" applyFont="1" applyAlignment="1">
      <alignment horizontal="right"/>
    </xf>
    <xf numFmtId="0" fontId="10" fillId="0" borderId="0" xfId="0" applyFont="1" applyFill="1" applyBorder="1" applyAlignment="1" applyProtection="1">
      <alignment horizontal="left"/>
    </xf>
    <xf numFmtId="3" fontId="34" fillId="0" borderId="0" xfId="0" applyNumberFormat="1" applyFont="1" applyFill="1" applyAlignment="1">
      <alignment vertical="center"/>
    </xf>
    <xf numFmtId="3" fontId="8" fillId="0" borderId="0" xfId="0" applyNumberFormat="1" applyFont="1" applyBorder="1" applyAlignment="1">
      <alignment horizontal="right" vertical="center"/>
    </xf>
    <xf numFmtId="3" fontId="0" fillId="0" borderId="0" xfId="0" applyNumberFormat="1" applyAlignment="1">
      <alignment vertical="center"/>
    </xf>
    <xf numFmtId="3" fontId="7" fillId="0" borderId="0" xfId="0" quotePrefix="1" applyNumberFormat="1" applyFont="1" applyAlignment="1">
      <alignment horizontal="left"/>
    </xf>
    <xf numFmtId="166" fontId="7" fillId="0" borderId="0" xfId="0" applyNumberFormat="1" applyFont="1" applyAlignment="1"/>
    <xf numFmtId="166" fontId="12" fillId="0" borderId="0" xfId="0" applyNumberFormat="1" applyFont="1" applyAlignment="1"/>
    <xf numFmtId="166" fontId="11" fillId="0" borderId="0" xfId="0" applyNumberFormat="1" applyFont="1" applyAlignment="1"/>
    <xf numFmtId="166" fontId="7" fillId="0" borderId="0" xfId="0" quotePrefix="1" applyNumberFormat="1" applyFont="1" applyAlignment="1"/>
    <xf numFmtId="9" fontId="7" fillId="0" borderId="0" xfId="14" applyFont="1" applyAlignment="1">
      <alignment horizontal="right" vertical="center"/>
    </xf>
    <xf numFmtId="0" fontId="62" fillId="0" borderId="0" xfId="0" applyFont="1" applyFill="1"/>
    <xf numFmtId="0" fontId="64" fillId="0" borderId="0" xfId="0" applyFont="1"/>
    <xf numFmtId="165" fontId="10" fillId="0" borderId="0" xfId="14" applyNumberFormat="1" applyFont="1" applyFill="1" applyBorder="1" applyAlignment="1">
      <alignment horizontal="right" vertical="center"/>
    </xf>
    <xf numFmtId="165" fontId="16" fillId="0" borderId="0" xfId="14" applyNumberFormat="1" applyFont="1" applyFill="1" applyBorder="1" applyAlignment="1">
      <alignment horizontal="right" vertical="center"/>
    </xf>
    <xf numFmtId="0" fontId="11" fillId="0" borderId="0" xfId="0" applyFont="1" applyAlignment="1">
      <alignment horizontal="left" vertical="center"/>
    </xf>
    <xf numFmtId="3" fontId="24" fillId="0" borderId="0" xfId="14" applyNumberFormat="1" applyFont="1" applyFill="1" applyAlignment="1"/>
    <xf numFmtId="166" fontId="28" fillId="0" borderId="0" xfId="0" applyNumberFormat="1" applyFont="1" applyFill="1" applyAlignment="1">
      <alignment horizontal="right"/>
    </xf>
    <xf numFmtId="0" fontId="32" fillId="0" borderId="0" xfId="0" applyFont="1" applyFill="1" applyAlignment="1">
      <alignment horizontal="right"/>
    </xf>
    <xf numFmtId="0" fontId="24" fillId="0" borderId="0" xfId="0" applyFont="1" applyFill="1" applyAlignment="1">
      <alignment horizontal="right"/>
    </xf>
    <xf numFmtId="0" fontId="65" fillId="0" borderId="0" xfId="1" applyFont="1" applyAlignment="1" applyProtection="1">
      <alignment vertical="center"/>
    </xf>
    <xf numFmtId="0" fontId="66" fillId="0" borderId="0" xfId="0" applyFont="1"/>
    <xf numFmtId="3" fontId="57" fillId="0" borderId="0" xfId="0" applyNumberFormat="1" applyFont="1" applyFill="1" applyAlignment="1">
      <alignment vertical="center"/>
    </xf>
    <xf numFmtId="165" fontId="11" fillId="0" borderId="0" xfId="0" applyNumberFormat="1" applyFont="1" applyFill="1" applyAlignment="1">
      <alignment horizontal="right"/>
    </xf>
    <xf numFmtId="0" fontId="67" fillId="0" borderId="0" xfId="0" applyFont="1"/>
    <xf numFmtId="164" fontId="12" fillId="0" borderId="0" xfId="0" applyNumberFormat="1" applyFont="1" applyFill="1" applyAlignment="1">
      <alignment horizontal="right" vertical="center"/>
    </xf>
    <xf numFmtId="164" fontId="11" fillId="0" borderId="0" xfId="0" applyNumberFormat="1" applyFont="1" applyFill="1" applyAlignment="1">
      <alignment horizontal="right" vertical="center"/>
    </xf>
    <xf numFmtId="3" fontId="7" fillId="0" borderId="0" xfId="0" applyNumberFormat="1" applyFont="1" applyFill="1" applyBorder="1" applyAlignment="1" applyProtection="1">
      <alignment horizontal="right" vertical="center" wrapText="1"/>
      <protection locked="0"/>
    </xf>
    <xf numFmtId="166" fontId="10" fillId="0" borderId="0" xfId="2" applyNumberFormat="1" applyFont="1" applyFill="1" applyBorder="1" applyAlignment="1" applyProtection="1">
      <alignment horizontal="right" vertical="top" wrapText="1"/>
      <protection locked="0"/>
    </xf>
    <xf numFmtId="166" fontId="10" fillId="0" borderId="0" xfId="0" applyNumberFormat="1" applyFont="1" applyProtection="1"/>
    <xf numFmtId="3" fontId="10" fillId="0" borderId="0" xfId="0" applyNumberFormat="1" applyFont="1" applyProtection="1">
      <protection locked="0"/>
    </xf>
    <xf numFmtId="3" fontId="10" fillId="0" borderId="0" xfId="0" applyNumberFormat="1" applyFont="1" applyAlignment="1" applyProtection="1">
      <alignment vertical="center"/>
      <protection locked="0"/>
    </xf>
    <xf numFmtId="3" fontId="7" fillId="0" borderId="0" xfId="0" applyNumberFormat="1" applyFont="1" applyFill="1" applyBorder="1" applyAlignment="1" applyProtection="1">
      <alignment horizontal="right" vertical="center"/>
      <protection locked="0"/>
    </xf>
    <xf numFmtId="3" fontId="10" fillId="0" borderId="0" xfId="2"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xf>
    <xf numFmtId="166" fontId="8" fillId="0" borderId="0" xfId="0" applyNumberFormat="1" applyFont="1" applyFill="1" applyBorder="1" applyAlignment="1" applyProtection="1">
      <alignment horizontal="right" vertical="top"/>
      <protection locked="0"/>
    </xf>
    <xf numFmtId="3" fontId="7" fillId="0" borderId="0" xfId="0" applyNumberFormat="1" applyFont="1" applyFill="1" applyBorder="1" applyAlignment="1" applyProtection="1">
      <alignment vertical="center"/>
      <protection locked="0"/>
    </xf>
    <xf numFmtId="3" fontId="10" fillId="0" borderId="0" xfId="14" applyNumberFormat="1" applyFont="1" applyFill="1" applyBorder="1" applyAlignment="1">
      <alignment horizontal="right" vertical="center"/>
    </xf>
    <xf numFmtId="3" fontId="16" fillId="0" borderId="0" xfId="14" applyNumberFormat="1" applyFont="1" applyFill="1" applyBorder="1" applyAlignment="1">
      <alignment horizontal="right" vertical="center"/>
    </xf>
    <xf numFmtId="3" fontId="10" fillId="0" borderId="0" xfId="0" applyNumberFormat="1" applyFont="1" applyFill="1" applyAlignment="1" applyProtection="1">
      <alignment vertical="center"/>
      <protection locked="0"/>
    </xf>
    <xf numFmtId="3" fontId="8" fillId="0" borderId="0" xfId="0" applyNumberFormat="1" applyFont="1" applyFill="1" applyBorder="1" applyAlignment="1" applyProtection="1">
      <alignment horizontal="right" vertical="center"/>
      <protection locked="0"/>
    </xf>
    <xf numFmtId="3" fontId="7" fillId="0" borderId="0" xfId="0" applyNumberFormat="1" applyFont="1" applyAlignment="1" applyProtection="1">
      <alignment vertical="center"/>
      <protection locked="0"/>
    </xf>
    <xf numFmtId="165" fontId="32" fillId="0" borderId="0" xfId="0" applyNumberFormat="1" applyFont="1"/>
    <xf numFmtId="3" fontId="7" fillId="0" borderId="0" xfId="0" applyNumberFormat="1" applyFont="1" applyFill="1" applyBorder="1" applyProtection="1">
      <protection locked="0"/>
    </xf>
    <xf numFmtId="3" fontId="7" fillId="0" borderId="0" xfId="0" applyNumberFormat="1" applyFont="1" applyProtection="1">
      <protection locked="0"/>
    </xf>
    <xf numFmtId="3" fontId="10" fillId="0" borderId="0" xfId="0" applyNumberFormat="1" applyFont="1" applyFill="1" applyBorder="1" applyAlignment="1" applyProtection="1">
      <alignment horizontal="right"/>
      <protection locked="0"/>
    </xf>
    <xf numFmtId="3" fontId="10" fillId="0" borderId="0" xfId="0" applyNumberFormat="1" applyFont="1" applyBorder="1"/>
    <xf numFmtId="3" fontId="16" fillId="0" borderId="0" xfId="0" applyNumberFormat="1" applyFont="1" applyBorder="1"/>
    <xf numFmtId="166" fontId="12" fillId="0" borderId="0" xfId="0" applyNumberFormat="1" applyFont="1" applyFill="1" applyBorder="1" applyProtection="1">
      <protection locked="0"/>
    </xf>
    <xf numFmtId="166" fontId="17" fillId="0" borderId="0" xfId="0" applyNumberFormat="1" applyFont="1" applyFill="1" applyBorder="1" applyAlignment="1" applyProtection="1">
      <protection locked="0"/>
    </xf>
    <xf numFmtId="164" fontId="28" fillId="0" borderId="0" xfId="0" applyNumberFormat="1" applyFont="1" applyProtection="1">
      <protection locked="0"/>
    </xf>
    <xf numFmtId="1" fontId="10" fillId="0" borderId="0" xfId="0" applyNumberFormat="1" applyFont="1" applyProtection="1">
      <protection locked="0"/>
    </xf>
    <xf numFmtId="1" fontId="10" fillId="0" borderId="0" xfId="0" applyNumberFormat="1" applyFont="1" applyAlignment="1" applyProtection="1">
      <protection locked="0"/>
    </xf>
    <xf numFmtId="1" fontId="8" fillId="0" borderId="0" xfId="0" applyNumberFormat="1" applyFont="1" applyFill="1" applyBorder="1" applyAlignment="1" applyProtection="1">
      <alignment horizontal="right" wrapText="1"/>
    </xf>
    <xf numFmtId="3" fontId="11" fillId="0" borderId="0" xfId="0" applyNumberFormat="1" applyFont="1" applyBorder="1"/>
    <xf numFmtId="3" fontId="16" fillId="0" borderId="0" xfId="0" applyNumberFormat="1" applyFont="1" applyFill="1" applyBorder="1" applyAlignment="1" applyProtection="1">
      <alignment horizontal="right"/>
    </xf>
    <xf numFmtId="164" fontId="10" fillId="0" borderId="0" xfId="0" applyNumberFormat="1" applyFont="1" applyFill="1" applyBorder="1" applyAlignment="1" applyProtection="1">
      <alignment horizontal="right" vertical="center" wrapText="1"/>
      <protection locked="0"/>
    </xf>
    <xf numFmtId="164" fontId="10" fillId="0" borderId="0" xfId="0" applyNumberFormat="1" applyFont="1" applyAlignment="1" applyProtection="1">
      <alignment vertical="center"/>
      <protection locked="0"/>
    </xf>
    <xf numFmtId="3" fontId="10" fillId="0" borderId="0" xfId="0" applyNumberFormat="1"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164" fontId="8" fillId="0" borderId="0" xfId="0" applyNumberFormat="1" applyFont="1" applyFill="1" applyBorder="1" applyAlignment="1" applyProtection="1">
      <alignment vertical="center"/>
    </xf>
    <xf numFmtId="3" fontId="8" fillId="0" borderId="0" xfId="0" applyNumberFormat="1" applyFont="1" applyFill="1" applyBorder="1" applyAlignment="1" applyProtection="1">
      <alignment vertical="center"/>
    </xf>
    <xf numFmtId="3" fontId="10" fillId="0" borderId="0" xfId="9" applyNumberFormat="1" applyFont="1" applyFill="1" applyBorder="1" applyAlignment="1">
      <alignment horizontal="right" vertical="center" wrapText="1"/>
    </xf>
    <xf numFmtId="3" fontId="8" fillId="0" borderId="0" xfId="0" applyNumberFormat="1" applyFont="1" applyFill="1" applyBorder="1" applyAlignment="1" applyProtection="1">
      <alignment vertical="center"/>
      <protection locked="0"/>
    </xf>
    <xf numFmtId="1" fontId="10" fillId="0" borderId="0" xfId="0" applyNumberFormat="1" applyFont="1" applyFill="1" applyBorder="1" applyAlignment="1">
      <alignment vertical="center"/>
    </xf>
    <xf numFmtId="3" fontId="7" fillId="0" borderId="0" xfId="10" applyNumberFormat="1" applyFont="1" applyFill="1" applyBorder="1" applyAlignment="1" applyProtection="1">
      <alignment horizontal="right" vertical="center"/>
      <protection locked="0"/>
    </xf>
    <xf numFmtId="3" fontId="7" fillId="0" borderId="0" xfId="11" applyNumberFormat="1" applyFont="1" applyFill="1" applyBorder="1" applyAlignment="1" applyProtection="1">
      <alignment horizontal="right" vertical="center"/>
      <protection locked="0"/>
    </xf>
    <xf numFmtId="3" fontId="10" fillId="0" borderId="0" xfId="0" applyNumberFormat="1" applyFont="1" applyFill="1" applyBorder="1" applyAlignment="1" applyProtection="1">
      <alignment horizontal="right" vertical="center" wrapText="1"/>
      <protection locked="0"/>
    </xf>
    <xf numFmtId="3" fontId="10" fillId="0" borderId="0" xfId="0" applyNumberFormat="1" applyFont="1" applyFill="1" applyBorder="1" applyAlignment="1" applyProtection="1">
      <alignment vertical="center" wrapText="1"/>
      <protection locked="0"/>
    </xf>
    <xf numFmtId="164" fontId="12" fillId="0" borderId="0" xfId="0" applyNumberFormat="1" applyFont="1" applyFill="1" applyBorder="1" applyAlignment="1" applyProtection="1">
      <alignment vertical="center" wrapText="1"/>
      <protection locked="0"/>
    </xf>
    <xf numFmtId="164" fontId="12" fillId="0" borderId="0" xfId="0" applyNumberFormat="1" applyFont="1" applyAlignment="1" applyProtection="1">
      <alignment vertical="center"/>
      <protection locked="0"/>
    </xf>
    <xf numFmtId="164" fontId="12" fillId="0" borderId="0" xfId="0" applyNumberFormat="1" applyFont="1" applyFill="1" applyBorder="1" applyAlignment="1">
      <alignment vertical="center" wrapText="1"/>
    </xf>
    <xf numFmtId="3" fontId="16" fillId="0" borderId="0" xfId="0" applyNumberFormat="1" applyFont="1" applyFill="1" applyBorder="1" applyAlignment="1" applyProtection="1">
      <alignment vertical="center"/>
    </xf>
    <xf numFmtId="164" fontId="29" fillId="0" borderId="0" xfId="0" applyNumberFormat="1" applyFont="1" applyFill="1" applyBorder="1" applyAlignment="1" applyProtection="1">
      <alignment vertical="center"/>
    </xf>
    <xf numFmtId="0" fontId="48" fillId="0" borderId="0" xfId="0" applyFont="1" applyBorder="1" applyAlignment="1">
      <alignment horizontal="right" vertical="center"/>
    </xf>
    <xf numFmtId="165" fontId="39" fillId="0" borderId="0" xfId="0" applyNumberFormat="1" applyFont="1" applyBorder="1" applyAlignment="1">
      <alignment horizontal="right" vertical="center"/>
    </xf>
    <xf numFmtId="0" fontId="8" fillId="0" borderId="0" xfId="0" applyFont="1" applyFill="1" applyBorder="1" applyAlignment="1">
      <alignment horizontal="right" vertical="center" wrapText="1"/>
    </xf>
    <xf numFmtId="0" fontId="7" fillId="0" borderId="0" xfId="0" applyFont="1" applyFill="1" applyBorder="1" applyAlignment="1">
      <alignment horizontal="right" vertical="center" wrapText="1"/>
    </xf>
    <xf numFmtId="3" fontId="10" fillId="0" borderId="0" xfId="0" applyNumberFormat="1" applyFont="1" applyBorder="1" applyAlignment="1" applyProtection="1">
      <alignment vertical="center"/>
      <protection locked="0"/>
    </xf>
    <xf numFmtId="0" fontId="8" fillId="0" borderId="0" xfId="0" applyFont="1" applyBorder="1" applyAlignment="1">
      <alignment horizontal="right" vertical="center"/>
    </xf>
    <xf numFmtId="0" fontId="7" fillId="0" borderId="0" xfId="0" applyFont="1" applyBorder="1" applyAlignment="1">
      <alignment horizontal="right" vertical="center"/>
    </xf>
    <xf numFmtId="3" fontId="7" fillId="0" borderId="0" xfId="0" applyNumberFormat="1" applyFont="1" applyFill="1" applyBorder="1" applyAlignment="1" applyProtection="1">
      <alignment horizontal="right" wrapText="1"/>
      <protection locked="0"/>
    </xf>
    <xf numFmtId="3" fontId="7" fillId="0" borderId="0" xfId="0" applyNumberFormat="1" applyFont="1" applyFill="1" applyBorder="1" applyAlignment="1" applyProtection="1">
      <alignment horizontal="right"/>
      <protection locked="0"/>
    </xf>
    <xf numFmtId="3" fontId="8" fillId="0" borderId="0" xfId="0" applyNumberFormat="1" applyFont="1" applyFill="1" applyBorder="1" applyAlignment="1" applyProtection="1">
      <alignment horizontal="right" wrapText="1"/>
      <protection locked="0"/>
    </xf>
    <xf numFmtId="0" fontId="49" fillId="0" borderId="0" xfId="0" applyFont="1" applyBorder="1" applyAlignment="1">
      <alignment vertical="center"/>
    </xf>
    <xf numFmtId="0" fontId="49" fillId="0" borderId="0" xfId="0" applyFont="1" applyBorder="1" applyAlignment="1">
      <alignment horizontal="right" vertical="center"/>
    </xf>
    <xf numFmtId="0" fontId="53" fillId="0" borderId="0" xfId="0" applyFont="1" applyBorder="1" applyAlignment="1">
      <alignment vertical="center"/>
    </xf>
    <xf numFmtId="0" fontId="53" fillId="0" borderId="0" xfId="0" applyFont="1" applyBorder="1" applyAlignment="1">
      <alignment horizontal="right" vertical="center"/>
    </xf>
    <xf numFmtId="3" fontId="16" fillId="0" borderId="0" xfId="0" applyNumberFormat="1" applyFont="1" applyFill="1" applyBorder="1" applyAlignment="1" applyProtection="1">
      <alignment horizontal="right" wrapText="1"/>
    </xf>
    <xf numFmtId="3" fontId="16" fillId="0" borderId="0" xfId="0" applyNumberFormat="1" applyFont="1" applyFill="1" applyBorder="1" applyAlignment="1" applyProtection="1">
      <alignment horizontal="right" vertical="center"/>
    </xf>
    <xf numFmtId="3" fontId="10" fillId="0" borderId="0" xfId="0" applyNumberFormat="1" applyFont="1" applyBorder="1" applyProtection="1">
      <protection locked="0"/>
    </xf>
    <xf numFmtId="3" fontId="16" fillId="0" borderId="0" xfId="0" applyNumberFormat="1" applyFont="1" applyFill="1" applyBorder="1" applyAlignment="1" applyProtection="1">
      <alignment horizontal="right" vertical="center" wrapText="1"/>
      <protection locked="0"/>
    </xf>
    <xf numFmtId="3" fontId="16" fillId="0" borderId="0" xfId="0" applyNumberFormat="1" applyFont="1" applyFill="1" applyBorder="1" applyAlignment="1" applyProtection="1">
      <alignment horizontal="right"/>
      <protection locked="0"/>
    </xf>
    <xf numFmtId="3" fontId="8" fillId="0" borderId="0" xfId="0" applyNumberFormat="1" applyFont="1" applyFill="1" applyBorder="1" applyAlignment="1" applyProtection="1">
      <alignment horizontal="right" vertical="center" wrapText="1"/>
      <protection locked="0"/>
    </xf>
    <xf numFmtId="3" fontId="16" fillId="0" borderId="0" xfId="0" applyNumberFormat="1" applyFont="1" applyFill="1" applyBorder="1" applyAlignment="1" applyProtection="1">
      <alignment horizontal="right" vertical="center"/>
      <protection locked="0"/>
    </xf>
    <xf numFmtId="3" fontId="8" fillId="0" borderId="0" xfId="0" applyNumberFormat="1" applyFont="1" applyFill="1" applyBorder="1" applyAlignment="1" applyProtection="1">
      <alignment horizontal="right"/>
      <protection locked="0"/>
    </xf>
    <xf numFmtId="3" fontId="10" fillId="0" borderId="0" xfId="0" applyNumberFormat="1" applyFont="1" applyFill="1" applyBorder="1" applyAlignment="1" applyProtection="1">
      <alignment horizontal="right" wrapText="1"/>
      <protection locked="0"/>
    </xf>
    <xf numFmtId="3" fontId="10" fillId="0" borderId="0" xfId="5" applyNumberFormat="1" applyFont="1" applyFill="1" applyBorder="1" applyAlignment="1">
      <alignment horizontal="right"/>
    </xf>
    <xf numFmtId="3" fontId="16" fillId="0" borderId="0" xfId="0" applyNumberFormat="1" applyFont="1" applyFill="1" applyBorder="1" applyAlignment="1">
      <alignment horizontal="right"/>
    </xf>
    <xf numFmtId="0" fontId="9" fillId="0" borderId="0" xfId="0" applyFont="1"/>
    <xf numFmtId="3" fontId="16" fillId="0" borderId="0" xfId="0" quotePrefix="1" applyNumberFormat="1" applyFont="1" applyBorder="1"/>
    <xf numFmtId="3" fontId="10" fillId="0" borderId="0" xfId="0" quotePrefix="1" applyNumberFormat="1" applyFont="1" applyBorder="1"/>
    <xf numFmtId="3" fontId="68" fillId="0" borderId="0" xfId="0" applyNumberFormat="1" applyFont="1"/>
    <xf numFmtId="3" fontId="67" fillId="0" borderId="0" xfId="0" applyNumberFormat="1" applyFont="1" applyAlignment="1">
      <alignment horizontal="right"/>
    </xf>
    <xf numFmtId="0" fontId="68" fillId="0" borderId="0" xfId="0" applyFont="1"/>
    <xf numFmtId="0" fontId="72" fillId="0" borderId="0" xfId="0" applyFont="1"/>
    <xf numFmtId="3" fontId="24" fillId="0" borderId="0" xfId="0" applyNumberFormat="1" applyFont="1" applyBorder="1" applyAlignment="1">
      <alignment vertical="center"/>
    </xf>
    <xf numFmtId="3" fontId="12" fillId="0" borderId="0" xfId="0" applyNumberFormat="1" applyFont="1" applyBorder="1"/>
    <xf numFmtId="3" fontId="29" fillId="0" borderId="0" xfId="0" applyNumberFormat="1" applyFont="1" applyFill="1" applyAlignment="1">
      <alignment vertical="center"/>
    </xf>
    <xf numFmtId="165" fontId="12" fillId="0" borderId="0" xfId="0" applyNumberFormat="1" applyFont="1" applyAlignment="1">
      <alignment horizontal="right"/>
    </xf>
    <xf numFmtId="3" fontId="29" fillId="0" borderId="0" xfId="0" applyNumberFormat="1" applyFont="1" applyFill="1"/>
    <xf numFmtId="3" fontId="73" fillId="0" borderId="0" xfId="0" applyNumberFormat="1" applyFont="1"/>
    <xf numFmtId="3" fontId="74" fillId="0" borderId="0" xfId="0" applyNumberFormat="1" applyFont="1" applyFill="1" applyBorder="1" applyAlignment="1" applyProtection="1"/>
    <xf numFmtId="166" fontId="74" fillId="0" borderId="0" xfId="0" applyNumberFormat="1" applyFont="1" applyFill="1" applyBorder="1" applyAlignment="1" applyProtection="1">
      <alignment horizontal="right"/>
    </xf>
    <xf numFmtId="165" fontId="11" fillId="0" borderId="0" xfId="14" applyNumberFormat="1" applyFont="1"/>
    <xf numFmtId="3" fontId="88" fillId="0" borderId="0" xfId="0" quotePrefix="1" applyNumberFormat="1" applyFont="1" applyBorder="1"/>
    <xf numFmtId="3" fontId="89" fillId="0" borderId="0" xfId="0" quotePrefix="1" applyNumberFormat="1" applyFont="1" applyBorder="1"/>
    <xf numFmtId="3" fontId="90" fillId="0" borderId="0" xfId="0" quotePrefix="1" applyNumberFormat="1" applyFont="1" applyBorder="1"/>
    <xf numFmtId="9" fontId="7" fillId="0" borderId="0" xfId="14" applyFont="1" applyBorder="1"/>
    <xf numFmtId="0" fontId="9" fillId="0" borderId="0" xfId="0" quotePrefix="1" applyNumberFormat="1" applyFont="1" applyAlignment="1"/>
    <xf numFmtId="0" fontId="9" fillId="0" borderId="0" xfId="0" applyNumberFormat="1" applyFont="1" applyAlignment="1"/>
    <xf numFmtId="0" fontId="89" fillId="0" borderId="0" xfId="0" quotePrefix="1" applyNumberFormat="1" applyFont="1" applyBorder="1"/>
    <xf numFmtId="0" fontId="90" fillId="0" borderId="0" xfId="0" applyNumberFormat="1" applyFont="1" applyBorder="1"/>
    <xf numFmtId="3" fontId="12" fillId="0" borderId="0" xfId="0" applyNumberFormat="1" applyFont="1" applyFill="1" applyBorder="1" applyAlignment="1" applyProtection="1">
      <alignment horizontal="right" wrapText="1"/>
      <protection locked="0"/>
    </xf>
    <xf numFmtId="3" fontId="11" fillId="0" borderId="0" xfId="0" applyNumberFormat="1" applyFont="1" applyFill="1" applyBorder="1" applyAlignment="1" applyProtection="1">
      <alignment horizontal="right" wrapText="1"/>
    </xf>
    <xf numFmtId="3" fontId="12" fillId="0" borderId="0" xfId="0" applyNumberFormat="1" applyFont="1" applyProtection="1">
      <protection locked="0"/>
    </xf>
    <xf numFmtId="3" fontId="89" fillId="0" borderId="0" xfId="0" applyNumberFormat="1" applyFont="1" applyBorder="1" applyAlignment="1">
      <alignment horizontal="right"/>
    </xf>
    <xf numFmtId="1" fontId="18" fillId="0" borderId="0" xfId="17" applyNumberFormat="1" applyFont="1" applyFill="1"/>
    <xf numFmtId="9" fontId="18" fillId="0" borderId="0" xfId="17" applyFont="1" applyFill="1"/>
    <xf numFmtId="9" fontId="7" fillId="0" borderId="0" xfId="17" applyFont="1"/>
    <xf numFmtId="9" fontId="8" fillId="0" borderId="0" xfId="17" applyFont="1"/>
    <xf numFmtId="0" fontId="9" fillId="0" borderId="0" xfId="0" quotePrefix="1" applyNumberFormat="1" applyFont="1" applyFill="1" applyAlignment="1">
      <alignment horizontal="left"/>
    </xf>
    <xf numFmtId="0" fontId="9" fillId="0" borderId="0" xfId="0" applyFont="1" applyFill="1" applyAlignment="1">
      <alignment horizontal="left"/>
    </xf>
    <xf numFmtId="3" fontId="88" fillId="0" borderId="0" xfId="0" applyNumberFormat="1" applyFont="1" applyBorder="1" applyAlignment="1">
      <alignment horizontal="right"/>
    </xf>
    <xf numFmtId="165" fontId="10" fillId="0" borderId="0" xfId="0" applyNumberFormat="1" applyFont="1" applyAlignment="1"/>
    <xf numFmtId="165" fontId="16" fillId="0" borderId="0" xfId="0" applyNumberFormat="1" applyFont="1" applyFill="1" applyAlignment="1"/>
    <xf numFmtId="165" fontId="12" fillId="0" borderId="0" xfId="0" applyNumberFormat="1" applyFont="1" applyAlignment="1"/>
    <xf numFmtId="165" fontId="11" fillId="0" borderId="0" xfId="0" applyNumberFormat="1" applyFont="1" applyFill="1" applyAlignment="1"/>
    <xf numFmtId="165" fontId="10" fillId="0" borderId="0" xfId="0" applyNumberFormat="1" applyFont="1" applyAlignment="1">
      <alignment horizontal="right"/>
    </xf>
    <xf numFmtId="165" fontId="89" fillId="0" borderId="0" xfId="0" applyNumberFormat="1" applyFont="1" applyBorder="1"/>
    <xf numFmtId="0" fontId="7" fillId="0" borderId="0" xfId="0" quotePrefix="1" applyNumberFormat="1" applyFont="1" applyBorder="1" applyAlignment="1">
      <alignment horizontal="left"/>
    </xf>
    <xf numFmtId="165" fontId="90" fillId="0" borderId="0" xfId="0" applyNumberFormat="1" applyFont="1" applyBorder="1"/>
    <xf numFmtId="0" fontId="9" fillId="0" borderId="0" xfId="0" quotePrefix="1" applyNumberFormat="1" applyFont="1" applyAlignment="1">
      <alignment horizontal="left"/>
    </xf>
    <xf numFmtId="0" fontId="9" fillId="0" borderId="0" xfId="0" applyFont="1" applyAlignment="1">
      <alignment horizontal="left"/>
    </xf>
    <xf numFmtId="165" fontId="88" fillId="0" borderId="0" xfId="0" applyNumberFormat="1" applyFont="1" applyBorder="1"/>
    <xf numFmtId="165" fontId="91" fillId="0" borderId="0" xfId="0" applyNumberFormat="1" applyFont="1" applyBorder="1"/>
    <xf numFmtId="0" fontId="90" fillId="0" borderId="0" xfId="0" applyFont="1"/>
    <xf numFmtId="0" fontId="17" fillId="0" borderId="0" xfId="0" applyFont="1" applyFill="1"/>
    <xf numFmtId="3" fontId="12" fillId="0" borderId="0" xfId="15" applyNumberFormat="1" applyFont="1"/>
    <xf numFmtId="3" fontId="11" fillId="0" borderId="0" xfId="15" applyNumberFormat="1" applyFont="1"/>
    <xf numFmtId="3" fontId="16" fillId="0" borderId="0" xfId="15" applyNumberFormat="1" applyFont="1" applyFill="1" applyBorder="1" applyAlignment="1">
      <alignment horizontal="right" vertical="center"/>
    </xf>
    <xf numFmtId="3" fontId="8" fillId="0" borderId="0" xfId="0" applyNumberFormat="1" applyFont="1" applyFill="1" applyBorder="1" applyAlignment="1" applyProtection="1"/>
    <xf numFmtId="3" fontId="21" fillId="0" borderId="0" xfId="0" applyNumberFormat="1" applyFont="1" applyFill="1" applyBorder="1" applyAlignment="1">
      <alignment horizontal="right" vertical="center"/>
    </xf>
    <xf numFmtId="9" fontId="16" fillId="0" borderId="0" xfId="0" applyNumberFormat="1" applyFont="1" applyFill="1" applyBorder="1" applyAlignment="1">
      <alignment horizontal="right" vertical="center"/>
    </xf>
    <xf numFmtId="0" fontId="92" fillId="0" borderId="0" xfId="0" applyFont="1"/>
    <xf numFmtId="0" fontId="18" fillId="0" borderId="0" xfId="6" applyFont="1" applyFill="1"/>
    <xf numFmtId="0" fontId="18" fillId="0" borderId="0" xfId="6" applyFont="1" applyFill="1" applyAlignment="1">
      <alignment horizontal="left"/>
    </xf>
    <xf numFmtId="0" fontId="18" fillId="0" borderId="0" xfId="6" applyFont="1" applyAlignment="1">
      <alignment horizontal="left"/>
    </xf>
    <xf numFmtId="0" fontId="10" fillId="0" borderId="0" xfId="6" applyFont="1"/>
    <xf numFmtId="0" fontId="16" fillId="0" borderId="0" xfId="6" applyFont="1" applyAlignment="1">
      <alignment vertical="center"/>
    </xf>
    <xf numFmtId="0" fontId="10" fillId="0" borderId="0" xfId="6" applyFont="1" applyAlignment="1">
      <alignment horizontal="right"/>
    </xf>
    <xf numFmtId="0" fontId="10" fillId="0" borderId="0" xfId="6" applyFont="1" applyBorder="1" applyAlignment="1">
      <alignment horizontal="right" vertical="center"/>
    </xf>
    <xf numFmtId="0" fontId="10" fillId="0" borderId="0" xfId="6" applyFont="1" applyBorder="1" applyAlignment="1">
      <alignment horizontal="right" vertical="center" wrapText="1"/>
    </xf>
    <xf numFmtId="0" fontId="16" fillId="0" borderId="0" xfId="6" applyFont="1" applyFill="1" applyBorder="1" applyAlignment="1">
      <alignment horizontal="right" vertical="center" wrapText="1"/>
    </xf>
    <xf numFmtId="0" fontId="16" fillId="0" borderId="0" xfId="6" applyFont="1" applyFill="1" applyAlignment="1"/>
    <xf numFmtId="165" fontId="10" fillId="0" borderId="0" xfId="16" applyNumberFormat="1" applyFont="1" applyFill="1" applyBorder="1" applyAlignment="1" applyProtection="1">
      <alignment vertical="center"/>
    </xf>
    <xf numFmtId="165" fontId="16" fillId="0" borderId="0" xfId="16" applyNumberFormat="1" applyFont="1" applyFill="1" applyBorder="1" applyAlignment="1" applyProtection="1">
      <alignment vertical="center"/>
    </xf>
    <xf numFmtId="3" fontId="16" fillId="0" borderId="0" xfId="6" applyNumberFormat="1" applyFont="1" applyFill="1"/>
    <xf numFmtId="0" fontId="10" fillId="0" borderId="0" xfId="6" applyFont="1" applyFill="1"/>
    <xf numFmtId="3" fontId="10" fillId="0" borderId="0" xfId="6" applyNumberFormat="1" applyFont="1"/>
    <xf numFmtId="0" fontId="12" fillId="0" borderId="0" xfId="6" applyFont="1" applyFill="1"/>
    <xf numFmtId="3" fontId="12" fillId="0" borderId="0" xfId="6" applyNumberFormat="1" applyFont="1"/>
    <xf numFmtId="3" fontId="12" fillId="0" borderId="0" xfId="16" applyNumberFormat="1" applyFont="1" applyFill="1" applyBorder="1" applyAlignment="1" applyProtection="1">
      <alignment vertical="center"/>
    </xf>
    <xf numFmtId="3" fontId="11" fillId="0" borderId="0" xfId="6" applyNumberFormat="1" applyFont="1" applyFill="1"/>
    <xf numFmtId="0" fontId="10" fillId="0" borderId="0" xfId="6" applyFont="1" applyFill="1" applyBorder="1" applyAlignment="1">
      <alignment vertical="center"/>
    </xf>
    <xf numFmtId="0" fontId="10" fillId="0" borderId="0" xfId="6" applyFont="1" applyBorder="1"/>
    <xf numFmtId="0" fontId="18" fillId="0" borderId="0" xfId="6" applyFont="1"/>
    <xf numFmtId="164" fontId="92" fillId="0" borderId="0" xfId="0" applyNumberFormat="1" applyFont="1"/>
    <xf numFmtId="164" fontId="93" fillId="0" borderId="0" xfId="0" applyNumberFormat="1" applyFont="1"/>
    <xf numFmtId="164" fontId="12" fillId="0" borderId="0" xfId="0" applyNumberFormat="1" applyFont="1" applyFill="1" applyBorder="1" applyAlignment="1" applyProtection="1">
      <alignment horizontal="right" vertical="center"/>
      <protection locked="0"/>
    </xf>
    <xf numFmtId="164" fontId="29" fillId="0" borderId="0" xfId="0" applyNumberFormat="1" applyFont="1" applyFill="1" applyBorder="1" applyAlignment="1" applyProtection="1">
      <alignment horizontal="right" vertical="center"/>
      <protection locked="0"/>
    </xf>
    <xf numFmtId="164" fontId="12" fillId="0" borderId="0" xfId="0" applyNumberFormat="1" applyFont="1" applyFill="1" applyAlignment="1" applyProtection="1">
      <alignment vertical="center"/>
      <protection locked="0"/>
    </xf>
    <xf numFmtId="3" fontId="94" fillId="0" borderId="0" xfId="0" applyNumberFormat="1" applyFont="1" applyFill="1" applyBorder="1" applyAlignment="1" applyProtection="1">
      <alignment horizontal="right"/>
      <protection locked="0"/>
    </xf>
    <xf numFmtId="0" fontId="9" fillId="0" borderId="0" xfId="0" applyFont="1" applyFill="1" applyAlignment="1">
      <alignment vertical="center"/>
    </xf>
    <xf numFmtId="0" fontId="60" fillId="0" borderId="0" xfId="6" applyFont="1" applyFill="1" applyAlignment="1">
      <alignment vertical="center"/>
    </xf>
    <xf numFmtId="0" fontId="57" fillId="0" borderId="0" xfId="6" applyFont="1" applyAlignment="1">
      <alignment vertical="center"/>
    </xf>
    <xf numFmtId="0" fontId="1" fillId="0" borderId="0" xfId="6" applyAlignment="1">
      <alignment vertical="center"/>
    </xf>
    <xf numFmtId="0" fontId="57" fillId="0" borderId="0" xfId="6" applyFont="1" applyFill="1" applyAlignment="1">
      <alignment vertical="center"/>
    </xf>
    <xf numFmtId="0" fontId="7" fillId="0" borderId="0" xfId="6" applyFont="1" applyAlignment="1">
      <alignment horizontal="right" vertical="center" wrapText="1"/>
    </xf>
    <xf numFmtId="0" fontId="8" fillId="0" borderId="0" xfId="6" applyFont="1" applyAlignment="1">
      <alignment horizontal="right" vertical="center" wrapText="1"/>
    </xf>
    <xf numFmtId="0" fontId="33" fillId="0" borderId="0" xfId="6" applyFont="1" applyAlignment="1">
      <alignment vertical="center"/>
    </xf>
    <xf numFmtId="3" fontId="10" fillId="0" borderId="0" xfId="6" applyNumberFormat="1" applyFont="1" applyFill="1" applyBorder="1" applyAlignment="1" applyProtection="1">
      <alignment vertical="center"/>
      <protection locked="0"/>
    </xf>
    <xf numFmtId="3" fontId="10" fillId="0" borderId="0" xfId="6" applyNumberFormat="1" applyFont="1" applyAlignment="1" applyProtection="1">
      <alignment vertical="center"/>
      <protection locked="0"/>
    </xf>
    <xf numFmtId="0" fontId="49" fillId="0" borderId="0" xfId="6" applyFont="1" applyAlignment="1">
      <alignment vertical="center"/>
    </xf>
    <xf numFmtId="0" fontId="49" fillId="0" borderId="0" xfId="6" applyFont="1" applyAlignment="1">
      <alignment horizontal="right" vertical="center"/>
    </xf>
    <xf numFmtId="0" fontId="52" fillId="0" borderId="0" xfId="6" applyFont="1" applyAlignment="1">
      <alignment vertical="center"/>
    </xf>
    <xf numFmtId="0" fontId="50" fillId="0" borderId="0" xfId="6" applyFont="1" applyAlignment="1">
      <alignment horizontal="right" vertical="center"/>
    </xf>
    <xf numFmtId="0" fontId="7" fillId="0" borderId="0" xfId="6" applyFont="1" applyBorder="1" applyAlignment="1">
      <alignment vertical="center"/>
    </xf>
    <xf numFmtId="3" fontId="1" fillId="0" borderId="0" xfId="6" applyNumberFormat="1" applyAlignment="1">
      <alignment vertical="center"/>
    </xf>
    <xf numFmtId="0" fontId="75" fillId="0" borderId="0" xfId="6" applyFont="1" applyAlignment="1">
      <alignment vertical="center"/>
    </xf>
    <xf numFmtId="0" fontId="75" fillId="0" borderId="0" xfId="6" applyFont="1" applyAlignment="1">
      <alignment horizontal="right" vertical="center"/>
    </xf>
    <xf numFmtId="3" fontId="76" fillId="0" borderId="0" xfId="6" applyNumberFormat="1" applyFont="1" applyAlignment="1">
      <alignment horizontal="right" vertical="center"/>
    </xf>
    <xf numFmtId="3" fontId="75" fillId="0" borderId="0" xfId="6" applyNumberFormat="1" applyFont="1" applyAlignment="1">
      <alignment horizontal="right" vertical="center"/>
    </xf>
    <xf numFmtId="0" fontId="77" fillId="0" borderId="0" xfId="6" applyFont="1" applyAlignment="1">
      <alignment vertical="center"/>
    </xf>
    <xf numFmtId="0" fontId="77" fillId="0" borderId="0" xfId="6" applyFont="1" applyAlignment="1">
      <alignment horizontal="right" vertical="center"/>
    </xf>
    <xf numFmtId="0" fontId="42" fillId="0" borderId="0" xfId="6" applyFont="1" applyAlignment="1">
      <alignment vertical="center"/>
    </xf>
    <xf numFmtId="0" fontId="78" fillId="0" borderId="0" xfId="6" applyFont="1" applyBorder="1" applyAlignment="1">
      <alignment horizontal="right" vertical="center"/>
    </xf>
    <xf numFmtId="3" fontId="16" fillId="0" borderId="0" xfId="6" applyNumberFormat="1" applyFont="1" applyFill="1" applyBorder="1" applyAlignment="1" applyProtection="1">
      <alignment vertical="center"/>
    </xf>
    <xf numFmtId="0" fontId="79" fillId="0" borderId="0" xfId="6" applyFont="1" applyAlignment="1">
      <alignment vertical="center"/>
    </xf>
    <xf numFmtId="0" fontId="79" fillId="0" borderId="0" xfId="6" applyFont="1" applyAlignment="1">
      <alignment horizontal="right" vertical="center"/>
    </xf>
    <xf numFmtId="3" fontId="79" fillId="0" borderId="0" xfId="6" applyNumberFormat="1" applyFont="1" applyAlignment="1">
      <alignment horizontal="right" vertical="center"/>
    </xf>
    <xf numFmtId="0" fontId="57" fillId="0" borderId="0" xfId="6" applyFont="1" applyFill="1" applyBorder="1" applyAlignment="1">
      <alignment vertical="center"/>
    </xf>
    <xf numFmtId="3" fontId="10" fillId="0" borderId="0" xfId="0" applyNumberFormat="1" applyFont="1" applyAlignment="1" applyProtection="1">
      <alignment horizontal="right" vertical="center"/>
      <protection locked="0"/>
    </xf>
    <xf numFmtId="3" fontId="16" fillId="0" borderId="0" xfId="6" applyNumberFormat="1" applyFont="1" applyFill="1" applyAlignment="1">
      <alignment horizontal="right" vertical="center"/>
    </xf>
    <xf numFmtId="3" fontId="10" fillId="0" borderId="0" xfId="6" applyNumberFormat="1" applyFont="1" applyFill="1" applyBorder="1" applyAlignment="1" applyProtection="1">
      <alignment horizontal="right" vertical="center" wrapText="1"/>
    </xf>
    <xf numFmtId="3" fontId="10" fillId="0" borderId="0" xfId="6" applyNumberFormat="1" applyFont="1" applyAlignment="1">
      <alignment horizontal="right" vertical="center"/>
    </xf>
    <xf numFmtId="3" fontId="12" fillId="0" borderId="0" xfId="6" applyNumberFormat="1" applyFont="1" applyAlignment="1">
      <alignment horizontal="right" vertical="center"/>
    </xf>
    <xf numFmtId="3" fontId="12" fillId="0" borderId="0" xfId="6" applyNumberFormat="1" applyFont="1" applyFill="1" applyBorder="1" applyAlignment="1" applyProtection="1">
      <alignment horizontal="right" vertical="center" wrapText="1"/>
    </xf>
    <xf numFmtId="3" fontId="11" fillId="0" borderId="0" xfId="6" applyNumberFormat="1" applyFont="1" applyFill="1" applyBorder="1" applyAlignment="1" applyProtection="1">
      <alignment horizontal="right" vertical="center" wrapText="1"/>
    </xf>
    <xf numFmtId="166" fontId="11" fillId="0" borderId="0" xfId="0" applyNumberFormat="1" applyFont="1" applyFill="1"/>
    <xf numFmtId="3" fontId="27" fillId="0" borderId="0" xfId="0" applyNumberFormat="1" applyFont="1" applyBorder="1"/>
    <xf numFmtId="3" fontId="7" fillId="0" borderId="0" xfId="9" applyNumberFormat="1" applyFont="1" applyFill="1" applyBorder="1" applyAlignment="1" applyProtection="1">
      <alignment horizontal="right" vertical="center"/>
      <protection locked="0"/>
    </xf>
    <xf numFmtId="9" fontId="12" fillId="0" borderId="0" xfId="0" applyNumberFormat="1" applyFont="1" applyFill="1" applyAlignment="1">
      <alignment horizontal="right" vertical="center"/>
    </xf>
    <xf numFmtId="0" fontId="92" fillId="0" borderId="0" xfId="0" applyFont="1" applyFill="1"/>
    <xf numFmtId="165" fontId="89" fillId="0" borderId="0" xfId="0" applyNumberFormat="1" applyFont="1" applyFill="1" applyBorder="1"/>
    <xf numFmtId="165" fontId="10" fillId="0" borderId="0" xfId="0" applyNumberFormat="1" applyFont="1" applyFill="1" applyAlignment="1">
      <alignment horizontal="right"/>
    </xf>
    <xf numFmtId="165" fontId="88" fillId="0" borderId="0" xfId="0" applyNumberFormat="1" applyFont="1" applyFill="1" applyBorder="1"/>
    <xf numFmtId="165" fontId="90" fillId="0" borderId="0" xfId="0" applyNumberFormat="1" applyFont="1" applyFill="1" applyBorder="1"/>
    <xf numFmtId="165" fontId="91" fillId="0" borderId="0" xfId="0" applyNumberFormat="1" applyFont="1" applyFill="1" applyBorder="1"/>
    <xf numFmtId="165" fontId="10" fillId="0" borderId="0" xfId="0" applyNumberFormat="1" applyFont="1" applyFill="1" applyAlignment="1"/>
    <xf numFmtId="0" fontId="95" fillId="0" borderId="0" xfId="0" applyFont="1" applyFill="1"/>
    <xf numFmtId="165" fontId="11" fillId="0" borderId="0" xfId="0" applyNumberFormat="1" applyFont="1" applyFill="1" applyBorder="1" applyAlignment="1">
      <alignment horizontal="right"/>
    </xf>
    <xf numFmtId="166" fontId="29" fillId="0" borderId="0" xfId="0" applyNumberFormat="1" applyFont="1" applyFill="1" applyBorder="1" applyAlignment="1">
      <alignment horizontal="right"/>
    </xf>
    <xf numFmtId="166" fontId="10" fillId="0" borderId="0" xfId="0" applyNumberFormat="1" applyFont="1" applyAlignment="1" applyProtection="1">
      <alignment vertical="center"/>
      <protection locked="0"/>
    </xf>
    <xf numFmtId="164" fontId="8" fillId="0" borderId="0" xfId="0" applyNumberFormat="1" applyFont="1" applyAlignment="1">
      <alignment vertical="center"/>
    </xf>
    <xf numFmtId="0" fontId="96" fillId="0" borderId="0" xfId="0" applyFont="1" applyAlignment="1">
      <alignment vertical="center"/>
    </xf>
    <xf numFmtId="0" fontId="95" fillId="0" borderId="0" xfId="0" applyFont="1" applyFill="1" applyAlignment="1">
      <alignment vertical="center"/>
    </xf>
    <xf numFmtId="3" fontId="10" fillId="0" borderId="0" xfId="2" applyNumberFormat="1" applyFont="1" applyFill="1" applyBorder="1" applyAlignment="1" applyProtection="1">
      <alignment vertical="center"/>
      <protection locked="0"/>
    </xf>
    <xf numFmtId="165" fontId="11" fillId="0" borderId="0" xfId="0" applyNumberFormat="1" applyFont="1"/>
    <xf numFmtId="166" fontId="73" fillId="0" borderId="0" xfId="0" applyNumberFormat="1" applyFont="1"/>
    <xf numFmtId="169" fontId="16" fillId="0" borderId="0" xfId="0" quotePrefix="1" applyNumberFormat="1" applyFont="1" applyFill="1" applyBorder="1" applyAlignment="1">
      <alignment horizontal="right" vertical="center"/>
    </xf>
    <xf numFmtId="169" fontId="10" fillId="0" borderId="0" xfId="0" quotePrefix="1" applyNumberFormat="1" applyFont="1" applyFill="1" applyBorder="1" applyAlignment="1">
      <alignment horizontal="right" vertical="center"/>
    </xf>
    <xf numFmtId="3" fontId="18" fillId="0" borderId="0" xfId="0" applyNumberFormat="1" applyFont="1" applyFill="1" applyAlignment="1">
      <alignment vertical="center" wrapText="1"/>
    </xf>
    <xf numFmtId="3" fontId="18" fillId="0" borderId="0" xfId="0" applyNumberFormat="1" applyFont="1" applyFill="1" applyAlignment="1">
      <alignment vertical="center"/>
    </xf>
    <xf numFmtId="3" fontId="10" fillId="0" borderId="0" xfId="0" applyNumberFormat="1" applyFont="1" applyFill="1" applyBorder="1" applyAlignment="1" applyProtection="1">
      <alignment horizontal="right" vertical="center" wrapText="1"/>
    </xf>
    <xf numFmtId="3" fontId="10" fillId="0" borderId="0" xfId="0" applyNumberFormat="1" applyFont="1" applyAlignment="1">
      <alignment horizontal="right" vertical="center"/>
    </xf>
    <xf numFmtId="165" fontId="10" fillId="0" borderId="0" xfId="0" applyNumberFormat="1" applyFont="1" applyFill="1" applyBorder="1" applyAlignment="1" applyProtection="1">
      <alignment horizontal="right" vertical="center" wrapText="1"/>
      <protection locked="0"/>
    </xf>
    <xf numFmtId="165" fontId="8" fillId="0" borderId="0" xfId="0" applyNumberFormat="1" applyFont="1" applyFill="1" applyBorder="1" applyAlignment="1" applyProtection="1">
      <alignment vertical="center"/>
    </xf>
    <xf numFmtId="165" fontId="10" fillId="0" borderId="0" xfId="0" applyNumberFormat="1" applyFont="1" applyAlignment="1" applyProtection="1">
      <alignment vertical="center"/>
      <protection locked="0"/>
    </xf>
    <xf numFmtId="165" fontId="10" fillId="0" borderId="0" xfId="0" applyNumberFormat="1" applyFont="1" applyFill="1" applyBorder="1" applyAlignment="1" applyProtection="1">
      <alignment vertical="center" wrapText="1"/>
      <protection locked="0"/>
    </xf>
    <xf numFmtId="3" fontId="97" fillId="0" borderId="0" xfId="0" applyNumberFormat="1" applyFont="1" applyFill="1" applyAlignment="1">
      <alignment vertical="center"/>
    </xf>
    <xf numFmtId="3" fontId="98" fillId="0" borderId="0" xfId="0" applyNumberFormat="1" applyFont="1"/>
    <xf numFmtId="165" fontId="10" fillId="0" borderId="0" xfId="0" quotePrefix="1" applyNumberFormat="1" applyFont="1" applyFill="1" applyAlignment="1">
      <alignment horizontal="right"/>
    </xf>
    <xf numFmtId="165" fontId="16" fillId="0" borderId="0" xfId="0" quotePrefix="1" applyNumberFormat="1" applyFont="1" applyFill="1" applyAlignment="1">
      <alignment horizontal="right"/>
    </xf>
    <xf numFmtId="0" fontId="95" fillId="0" borderId="0" xfId="0" applyFont="1"/>
    <xf numFmtId="3" fontId="80" fillId="0" borderId="0" xfId="2" applyNumberFormat="1" applyFont="1" applyBorder="1" applyAlignment="1" applyProtection="1">
      <alignment vertical="center"/>
    </xf>
    <xf numFmtId="3" fontId="81" fillId="0" borderId="0" xfId="2" applyNumberFormat="1" applyFont="1" applyBorder="1" applyAlignment="1" applyProtection="1">
      <alignment horizontal="right" vertical="center"/>
    </xf>
    <xf numFmtId="3" fontId="91" fillId="0" borderId="0" xfId="0" quotePrefix="1" applyNumberFormat="1" applyFont="1" applyBorder="1"/>
    <xf numFmtId="3" fontId="90" fillId="0" borderId="0" xfId="0" quotePrefix="1" applyNumberFormat="1" applyFont="1" applyBorder="1" applyAlignment="1">
      <alignment horizontal="right"/>
    </xf>
    <xf numFmtId="3" fontId="91" fillId="0" borderId="0" xfId="0" quotePrefix="1" applyNumberFormat="1" applyFont="1" applyBorder="1" applyAlignment="1">
      <alignment horizontal="right"/>
    </xf>
    <xf numFmtId="165" fontId="11" fillId="0" borderId="0" xfId="0" applyNumberFormat="1" applyFont="1" applyAlignment="1">
      <alignment horizontal="right"/>
    </xf>
    <xf numFmtId="165" fontId="10" fillId="0" borderId="0" xfId="0" applyNumberFormat="1" applyFont="1" applyFill="1" applyAlignment="1">
      <alignment vertical="center"/>
    </xf>
    <xf numFmtId="165" fontId="16" fillId="0" borderId="0" xfId="0" applyNumberFormat="1" applyFont="1" applyFill="1" applyBorder="1" applyAlignment="1" applyProtection="1">
      <alignment horizontal="right" vertical="center"/>
    </xf>
    <xf numFmtId="0" fontId="97" fillId="0" borderId="0" xfId="0" applyFont="1" applyFill="1" applyAlignment="1">
      <alignment vertical="center"/>
    </xf>
    <xf numFmtId="165" fontId="16" fillId="0" borderId="0" xfId="0" applyNumberFormat="1" applyFont="1" applyFill="1" applyBorder="1" applyAlignment="1">
      <alignment vertical="center"/>
    </xf>
    <xf numFmtId="0" fontId="12" fillId="0" borderId="0" xfId="0" applyFont="1" applyFill="1" applyBorder="1" applyAlignment="1"/>
    <xf numFmtId="166" fontId="12" fillId="0" borderId="0" xfId="0" applyNumberFormat="1" applyFont="1" applyFill="1" applyAlignment="1">
      <alignment vertical="center"/>
    </xf>
    <xf numFmtId="166" fontId="11" fillId="0" borderId="0" xfId="0" applyNumberFormat="1" applyFont="1" applyFill="1" applyAlignment="1">
      <alignment vertical="center"/>
    </xf>
    <xf numFmtId="166" fontId="12" fillId="0" borderId="0" xfId="2" applyNumberFormat="1" applyFont="1" applyFill="1" applyBorder="1" applyAlignment="1">
      <alignment vertical="center"/>
    </xf>
    <xf numFmtId="0" fontId="0" fillId="2" borderId="0" xfId="0" applyFill="1"/>
    <xf numFmtId="3" fontId="10" fillId="0" borderId="0" xfId="9" applyNumberFormat="1" applyFont="1" applyFill="1" applyBorder="1" applyAlignment="1" applyProtection="1">
      <alignment horizontal="right" vertical="center" wrapText="1"/>
      <protection locked="0"/>
    </xf>
    <xf numFmtId="3" fontId="16" fillId="0" borderId="0" xfId="9" applyNumberFormat="1" applyFont="1" applyFill="1" applyBorder="1" applyAlignment="1" applyProtection="1">
      <alignment horizontal="right" vertical="center" wrapText="1"/>
      <protection locked="0"/>
    </xf>
    <xf numFmtId="166" fontId="10" fillId="0" borderId="0" xfId="9" applyNumberFormat="1" applyFont="1" applyFill="1" applyBorder="1" applyAlignment="1" applyProtection="1">
      <alignment horizontal="right" vertical="center" wrapText="1"/>
      <protection locked="0"/>
    </xf>
    <xf numFmtId="166" fontId="8" fillId="0" borderId="0" xfId="0" applyNumberFormat="1" applyFont="1" applyFill="1" applyBorder="1" applyAlignment="1" applyProtection="1">
      <alignment vertical="center"/>
    </xf>
    <xf numFmtId="0" fontId="99" fillId="0" borderId="0" xfId="0" applyFont="1"/>
    <xf numFmtId="166" fontId="17" fillId="0" borderId="0" xfId="0" applyNumberFormat="1" applyFont="1" applyFill="1" applyBorder="1" applyAlignment="1">
      <alignment horizontal="right" vertical="center"/>
    </xf>
    <xf numFmtId="3" fontId="11" fillId="0" borderId="0" xfId="6" applyNumberFormat="1" applyFont="1" applyFill="1" applyBorder="1" applyAlignment="1" applyProtection="1">
      <alignment vertical="center"/>
    </xf>
    <xf numFmtId="0" fontId="1" fillId="0" borderId="0" xfId="6" applyFill="1" applyAlignment="1">
      <alignment vertical="center"/>
    </xf>
    <xf numFmtId="0" fontId="100" fillId="0" borderId="0" xfId="0" applyFont="1" applyFill="1"/>
    <xf numFmtId="3" fontId="92" fillId="0" borderId="0" xfId="0" applyNumberFormat="1" applyFont="1"/>
    <xf numFmtId="3" fontId="92" fillId="0" borderId="0" xfId="0" applyNumberFormat="1" applyFont="1" applyFill="1"/>
    <xf numFmtId="0" fontId="101" fillId="0" borderId="0" xfId="0" applyFont="1" applyAlignment="1">
      <alignment horizontal="center"/>
    </xf>
    <xf numFmtId="0" fontId="101" fillId="0" borderId="0" xfId="0" applyFont="1"/>
    <xf numFmtId="0" fontId="102" fillId="0" borderId="0" xfId="0" applyFont="1" applyAlignment="1">
      <alignment horizontal="center"/>
    </xf>
    <xf numFmtId="0" fontId="82" fillId="0" borderId="0" xfId="0" applyFont="1" applyAlignment="1">
      <alignment horizontal="center"/>
    </xf>
    <xf numFmtId="0" fontId="37" fillId="0" borderId="0" xfId="0" applyFont="1" applyAlignment="1">
      <alignment horizontal="center"/>
    </xf>
    <xf numFmtId="0" fontId="11" fillId="0" borderId="0" xfId="0" applyFont="1" applyFill="1" applyBorder="1" applyAlignment="1">
      <alignment vertical="center"/>
    </xf>
    <xf numFmtId="164" fontId="11" fillId="0" borderId="0" xfId="3" applyNumberFormat="1" applyFont="1" applyFill="1" applyBorder="1" applyAlignment="1">
      <alignment horizontal="right" vertical="center"/>
    </xf>
    <xf numFmtId="3" fontId="8" fillId="0" borderId="0" xfId="8" applyNumberFormat="1" applyFont="1" applyFill="1" applyBorder="1" applyAlignment="1" applyProtection="1">
      <alignment horizontal="right" wrapText="1"/>
      <protection locked="0"/>
    </xf>
    <xf numFmtId="3" fontId="16" fillId="0" borderId="0" xfId="8" applyNumberFormat="1" applyFont="1" applyFill="1" applyBorder="1" applyAlignment="1" applyProtection="1">
      <alignment horizontal="right"/>
      <protection locked="0"/>
    </xf>
    <xf numFmtId="3" fontId="8" fillId="0" borderId="0" xfId="8" applyNumberFormat="1" applyFont="1" applyFill="1" applyBorder="1" applyAlignment="1" applyProtection="1">
      <alignment horizontal="right"/>
      <protection locked="0"/>
    </xf>
    <xf numFmtId="3" fontId="8" fillId="0" borderId="0" xfId="8" applyNumberFormat="1" applyFont="1" applyFill="1" applyBorder="1" applyAlignment="1" applyProtection="1">
      <alignment horizontal="right" vertical="center" wrapText="1"/>
      <protection locked="0"/>
    </xf>
    <xf numFmtId="0" fontId="87" fillId="0" borderId="0" xfId="0" applyFont="1" applyAlignment="1">
      <alignment vertical="center"/>
    </xf>
    <xf numFmtId="3" fontId="87" fillId="0" borderId="0" xfId="0" applyNumberFormat="1" applyFont="1" applyAlignment="1">
      <alignment vertical="center"/>
    </xf>
    <xf numFmtId="164" fontId="12" fillId="0" borderId="0" xfId="0" applyNumberFormat="1" applyFont="1"/>
    <xf numFmtId="164" fontId="11" fillId="0" borderId="0" xfId="0" applyNumberFormat="1" applyFont="1"/>
    <xf numFmtId="164" fontId="11" fillId="0" borderId="0" xfId="0" applyNumberFormat="1" applyFont="1" applyBorder="1"/>
    <xf numFmtId="165" fontId="11" fillId="0" borderId="0" xfId="0" applyNumberFormat="1" applyFont="1" applyBorder="1"/>
    <xf numFmtId="166" fontId="10" fillId="0" borderId="0" xfId="0" applyNumberFormat="1" applyFont="1"/>
    <xf numFmtId="166" fontId="9" fillId="0" borderId="0" xfId="0" applyNumberFormat="1" applyFont="1" applyFill="1" applyAlignment="1">
      <alignment horizontal="right" vertical="center"/>
    </xf>
    <xf numFmtId="0" fontId="19" fillId="0" borderId="0" xfId="0" applyFont="1" applyAlignment="1">
      <alignment horizontal="center" vertical="center"/>
    </xf>
    <xf numFmtId="166" fontId="10" fillId="0" borderId="0" xfId="0" applyNumberFormat="1" applyFont="1" applyBorder="1" applyAlignment="1" applyProtection="1">
      <alignment vertical="center"/>
      <protection locked="0"/>
    </xf>
    <xf numFmtId="164" fontId="16" fillId="0" borderId="0" xfId="0" applyNumberFormat="1" applyFont="1"/>
    <xf numFmtId="0" fontId="18" fillId="0" borderId="0" xfId="0" applyFont="1" applyFill="1" applyAlignment="1">
      <alignment wrapText="1"/>
    </xf>
    <xf numFmtId="0" fontId="84" fillId="0" borderId="0" xfId="0" applyFont="1" applyFill="1" applyAlignment="1">
      <alignment wrapText="1"/>
    </xf>
    <xf numFmtId="3" fontId="67" fillId="0" borderId="0" xfId="0" applyNumberFormat="1" applyFont="1" applyFill="1"/>
    <xf numFmtId="3" fontId="68" fillId="0" borderId="0" xfId="0" applyNumberFormat="1" applyFont="1" applyFill="1"/>
    <xf numFmtId="0" fontId="103" fillId="0" borderId="0" xfId="0" applyFont="1"/>
    <xf numFmtId="3" fontId="103" fillId="0" borderId="0" xfId="2" applyNumberFormat="1" applyFont="1" applyFill="1" applyBorder="1" applyAlignment="1" applyProtection="1">
      <alignment horizontal="right" vertical="center"/>
      <protection locked="0"/>
    </xf>
    <xf numFmtId="3" fontId="103" fillId="0" borderId="0" xfId="2" applyNumberFormat="1" applyFont="1" applyFill="1" applyBorder="1" applyAlignment="1" applyProtection="1">
      <alignment horizontal="right" vertical="center" wrapText="1"/>
      <protection locked="0"/>
    </xf>
    <xf numFmtId="3" fontId="104" fillId="0" borderId="0" xfId="0" applyNumberFormat="1" applyFont="1" applyFill="1" applyBorder="1" applyAlignment="1" applyProtection="1">
      <alignment horizontal="right" vertical="center"/>
    </xf>
    <xf numFmtId="3" fontId="103" fillId="0" borderId="0" xfId="0" applyNumberFormat="1" applyFont="1" applyFill="1" applyAlignment="1" applyProtection="1">
      <alignment vertical="center"/>
      <protection locked="0"/>
    </xf>
    <xf numFmtId="3" fontId="18" fillId="0" borderId="0" xfId="0" applyNumberFormat="1" applyFont="1" applyFill="1" applyAlignment="1">
      <alignment wrapText="1"/>
    </xf>
    <xf numFmtId="0" fontId="18" fillId="0" borderId="0" xfId="0" applyFont="1" applyAlignment="1">
      <alignment vertical="center" wrapText="1"/>
    </xf>
    <xf numFmtId="3" fontId="18" fillId="0" borderId="0" xfId="2" applyNumberFormat="1" applyFont="1" applyFill="1" applyBorder="1" applyAlignment="1"/>
    <xf numFmtId="3" fontId="95" fillId="0" borderId="0" xfId="0" applyNumberFormat="1" applyFont="1" applyFill="1" applyAlignment="1">
      <alignment vertical="center" wrapText="1"/>
    </xf>
    <xf numFmtId="0" fontId="85" fillId="0" borderId="0" xfId="18" applyNumberFormat="1" applyFont="1"/>
    <xf numFmtId="0" fontId="105" fillId="0" borderId="0" xfId="0" applyFont="1"/>
    <xf numFmtId="3" fontId="105" fillId="0" borderId="0" xfId="0" applyNumberFormat="1" applyFont="1"/>
    <xf numFmtId="3" fontId="106" fillId="0" borderId="0" xfId="0" applyNumberFormat="1" applyFont="1"/>
    <xf numFmtId="3" fontId="16" fillId="0" borderId="0" xfId="0" applyNumberFormat="1" applyFont="1" applyFill="1" applyBorder="1" applyAlignment="1">
      <alignment horizontal="right" vertical="center" wrapText="1"/>
    </xf>
    <xf numFmtId="168" fontId="16" fillId="0" borderId="0" xfId="0" applyNumberFormat="1" applyFont="1" applyFill="1" applyBorder="1" applyAlignment="1">
      <alignment vertical="center"/>
    </xf>
    <xf numFmtId="166" fontId="12" fillId="0" borderId="0" xfId="0" applyNumberFormat="1" applyFont="1" applyFill="1" applyBorder="1" applyAlignment="1" applyProtection="1">
      <alignment vertical="center"/>
      <protection locked="0"/>
    </xf>
    <xf numFmtId="166" fontId="11" fillId="0" borderId="0" xfId="0" applyNumberFormat="1" applyFont="1" applyFill="1" applyBorder="1" applyAlignment="1" applyProtection="1">
      <alignment vertical="center"/>
      <protection locked="0"/>
    </xf>
    <xf numFmtId="0" fontId="95" fillId="0" borderId="0" xfId="0" applyFont="1" applyFill="1" applyBorder="1"/>
    <xf numFmtId="3" fontId="95" fillId="0" borderId="0" xfId="0" applyNumberFormat="1" applyFont="1" applyFill="1" applyAlignment="1">
      <alignment vertical="center"/>
    </xf>
    <xf numFmtId="164" fontId="0" fillId="0" borderId="0" xfId="0" applyNumberFormat="1" applyAlignment="1">
      <alignment vertical="center"/>
    </xf>
    <xf numFmtId="165" fontId="100" fillId="0" borderId="0" xfId="0" applyNumberFormat="1" applyFont="1" applyFill="1" applyAlignment="1">
      <alignment vertical="center"/>
    </xf>
    <xf numFmtId="0" fontId="95" fillId="0" borderId="0" xfId="0" applyFont="1" applyFill="1" applyAlignment="1">
      <alignment horizontal="center" vertical="center" wrapText="1"/>
    </xf>
    <xf numFmtId="0" fontId="9" fillId="0" borderId="0" xfId="0" applyFont="1" applyFill="1" applyBorder="1" applyAlignment="1"/>
    <xf numFmtId="3" fontId="10" fillId="0" borderId="0" xfId="6" applyNumberFormat="1" applyFont="1" applyFill="1" applyAlignment="1">
      <alignment vertical="center" wrapText="1"/>
    </xf>
    <xf numFmtId="3" fontId="85" fillId="0" borderId="0" xfId="0" applyNumberFormat="1" applyFont="1" applyAlignment="1">
      <alignment horizontal="right"/>
    </xf>
    <xf numFmtId="3" fontId="85" fillId="0" borderId="0" xfId="0" applyNumberFormat="1" applyFont="1" applyBorder="1" applyAlignment="1" applyProtection="1">
      <alignment horizontal="right" vertical="center"/>
    </xf>
    <xf numFmtId="0" fontId="108" fillId="0" borderId="0" xfId="0" applyFont="1" applyAlignment="1">
      <alignment horizontal="right"/>
    </xf>
    <xf numFmtId="3" fontId="80" fillId="0" borderId="0" xfId="18" applyNumberFormat="1" applyFont="1" applyBorder="1" applyAlignment="1" applyProtection="1">
      <alignment horizontal="right" vertical="center"/>
    </xf>
    <xf numFmtId="3" fontId="10" fillId="0" borderId="0" xfId="6" applyNumberFormat="1" applyFont="1" applyFill="1"/>
    <xf numFmtId="0" fontId="10" fillId="0" borderId="0" xfId="18" applyNumberFormat="1" applyFont="1"/>
    <xf numFmtId="3" fontId="16" fillId="0" borderId="0" xfId="0" applyNumberFormat="1" applyFont="1" applyAlignment="1">
      <alignment horizontal="right"/>
    </xf>
    <xf numFmtId="3" fontId="11" fillId="0" borderId="0" xfId="18" applyNumberFormat="1" applyFont="1" applyAlignment="1">
      <alignment horizontal="right"/>
    </xf>
    <xf numFmtId="0" fontId="18" fillId="0" borderId="0" xfId="6" applyFont="1" applyAlignment="1">
      <alignment vertical="center" wrapText="1"/>
    </xf>
    <xf numFmtId="17" fontId="95" fillId="0" borderId="0" xfId="0" applyNumberFormat="1" applyFont="1" applyFill="1" applyBorder="1" applyAlignment="1">
      <alignment vertical="center" wrapText="1"/>
    </xf>
    <xf numFmtId="0" fontId="95" fillId="0" borderId="0" xfId="0" applyFont="1" applyFill="1" applyAlignment="1"/>
    <xf numFmtId="49" fontId="16" fillId="0" borderId="0" xfId="0" applyNumberFormat="1" applyFont="1" applyFill="1" applyAlignment="1">
      <alignment horizontal="right" vertical="center" wrapText="1"/>
    </xf>
    <xf numFmtId="3" fontId="10" fillId="0" borderId="0" xfId="2" applyNumberFormat="1" applyFont="1" applyFill="1" applyBorder="1" applyAlignment="1">
      <alignment horizontal="center" vertical="center" wrapText="1"/>
    </xf>
    <xf numFmtId="165" fontId="10"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165" fontId="10" fillId="0" borderId="0" xfId="0" applyNumberFormat="1" applyFont="1" applyFill="1" applyBorder="1" applyAlignment="1">
      <alignment horizontal="right" vertical="center"/>
    </xf>
    <xf numFmtId="3" fontId="16" fillId="0" borderId="0" xfId="2" applyNumberFormat="1" applyFont="1" applyFill="1" applyBorder="1" applyAlignment="1">
      <alignment horizontal="center" vertical="center" wrapText="1"/>
    </xf>
    <xf numFmtId="0" fontId="100" fillId="0" borderId="0" xfId="0" applyFont="1" applyFill="1" applyBorder="1"/>
    <xf numFmtId="0" fontId="95" fillId="0" borderId="0" xfId="0" applyFont="1" applyBorder="1" applyAlignment="1">
      <alignment horizontal="left" vertical="center"/>
    </xf>
    <xf numFmtId="3" fontId="16" fillId="0" borderId="0" xfId="8" applyNumberFormat="1" applyFont="1" applyFill="1" applyBorder="1" applyAlignment="1" applyProtection="1">
      <alignment horizontal="right" wrapText="1"/>
      <protection locked="0"/>
    </xf>
    <xf numFmtId="0" fontId="7" fillId="0" borderId="0" xfId="0" applyFont="1" applyFill="1" applyAlignment="1">
      <alignment vertical="center" wrapText="1"/>
    </xf>
    <xf numFmtId="3" fontId="90" fillId="0" borderId="0" xfId="0" applyNumberFormat="1" applyFont="1" applyBorder="1" applyAlignment="1">
      <alignment horizontal="right"/>
    </xf>
    <xf numFmtId="3" fontId="91" fillId="0" borderId="0" xfId="0" applyNumberFormat="1" applyFont="1" applyBorder="1" applyAlignment="1">
      <alignment horizontal="right"/>
    </xf>
    <xf numFmtId="0" fontId="12" fillId="0" borderId="0" xfId="0" applyFont="1" applyFill="1" applyAlignment="1">
      <alignment vertical="center"/>
    </xf>
    <xf numFmtId="165" fontId="7" fillId="0" borderId="0" xfId="0" applyNumberFormat="1" applyFont="1" applyFill="1" applyAlignment="1">
      <alignment vertical="center"/>
    </xf>
    <xf numFmtId="165" fontId="10" fillId="0" borderId="0" xfId="2" applyNumberFormat="1" applyFont="1" applyFill="1" applyBorder="1" applyAlignment="1">
      <alignment vertical="center"/>
    </xf>
    <xf numFmtId="165" fontId="16" fillId="0" borderId="0" xfId="2" applyNumberFormat="1" applyFont="1" applyFill="1" applyBorder="1" applyAlignment="1">
      <alignment vertical="center"/>
    </xf>
    <xf numFmtId="0" fontId="10" fillId="0" borderId="0" xfId="0" applyFont="1" applyBorder="1" applyAlignment="1">
      <alignment horizontal="left" wrapText="1"/>
    </xf>
    <xf numFmtId="3" fontId="10" fillId="0" borderId="0" xfId="0" quotePrefix="1" applyNumberFormat="1" applyFont="1" applyFill="1" applyBorder="1" applyAlignment="1">
      <alignment horizontal="right"/>
    </xf>
    <xf numFmtId="165" fontId="89" fillId="0" borderId="0" xfId="0" applyNumberFormat="1" applyFont="1" applyBorder="1" applyAlignment="1">
      <alignment horizontal="right"/>
    </xf>
    <xf numFmtId="165" fontId="88" fillId="0" borderId="0" xfId="0" applyNumberFormat="1" applyFont="1" applyBorder="1" applyAlignment="1">
      <alignment horizontal="right"/>
    </xf>
    <xf numFmtId="165" fontId="90" fillId="0" borderId="0" xfId="0" applyNumberFormat="1" applyFont="1" applyFill="1" applyBorder="1" applyAlignment="1">
      <alignment horizontal="right"/>
    </xf>
    <xf numFmtId="165" fontId="89" fillId="0" borderId="0" xfId="0" applyNumberFormat="1" applyFont="1" applyFill="1" applyBorder="1" applyAlignment="1">
      <alignment horizontal="right"/>
    </xf>
    <xf numFmtId="165" fontId="71" fillId="0" borderId="0" xfId="0" applyNumberFormat="1" applyFont="1" applyAlignment="1">
      <alignment horizontal="right"/>
    </xf>
    <xf numFmtId="164" fontId="10" fillId="0" borderId="0" xfId="0" applyNumberFormat="1" applyFont="1" applyBorder="1" applyAlignment="1">
      <alignment horizontal="right" vertical="center"/>
    </xf>
    <xf numFmtId="164" fontId="16" fillId="0" borderId="0" xfId="0" applyNumberFormat="1" applyFont="1" applyBorder="1" applyAlignment="1">
      <alignment horizontal="righ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0" fontId="107" fillId="0" borderId="0" xfId="0" applyFont="1" applyFill="1" applyAlignment="1">
      <alignment vertical="center"/>
    </xf>
    <xf numFmtId="0" fontId="7" fillId="0" borderId="0" xfId="0" applyNumberFormat="1" applyFont="1" applyAlignment="1">
      <alignment horizontal="left"/>
    </xf>
    <xf numFmtId="0" fontId="20" fillId="0" borderId="0" xfId="0" applyFont="1" applyAlignment="1">
      <alignment horizontal="center" vertical="center"/>
    </xf>
    <xf numFmtId="0" fontId="19" fillId="0" borderId="0" xfId="0" applyFont="1" applyAlignment="1">
      <alignment horizontal="center"/>
    </xf>
    <xf numFmtId="3" fontId="109" fillId="0" borderId="0" xfId="0" applyNumberFormat="1" applyFont="1" applyFill="1" applyBorder="1"/>
    <xf numFmtId="3" fontId="95" fillId="0" borderId="0" xfId="0" applyNumberFormat="1" applyFont="1"/>
    <xf numFmtId="0" fontId="95" fillId="0" borderId="0" xfId="0" applyFont="1" applyAlignment="1"/>
    <xf numFmtId="169" fontId="10" fillId="0" borderId="0" xfId="0" applyNumberFormat="1" applyFont="1" applyFill="1" applyBorder="1" applyAlignment="1">
      <alignment horizontal="right" vertical="center"/>
    </xf>
    <xf numFmtId="169" fontId="18" fillId="0" borderId="0" xfId="0" applyNumberFormat="1" applyFont="1" applyAlignment="1">
      <alignment horizontal="left"/>
    </xf>
    <xf numFmtId="3" fontId="11" fillId="0" borderId="0" xfId="0" applyNumberFormat="1" applyFont="1" applyFill="1" applyBorder="1" applyAlignment="1" applyProtection="1">
      <alignment vertical="center"/>
    </xf>
    <xf numFmtId="3" fontId="7" fillId="0" borderId="0" xfId="0" applyNumberFormat="1" applyFont="1" applyFill="1" applyBorder="1" applyAlignment="1" applyProtection="1">
      <alignment vertical="center" wrapText="1"/>
      <protection locked="0"/>
    </xf>
    <xf numFmtId="2" fontId="11" fillId="0" borderId="0" xfId="0" applyNumberFormat="1" applyFont="1" applyFill="1" applyBorder="1" applyAlignment="1" applyProtection="1">
      <alignment vertical="center"/>
    </xf>
    <xf numFmtId="166" fontId="8" fillId="0" borderId="0" xfId="0" applyNumberFormat="1" applyFont="1" applyFill="1" applyBorder="1" applyAlignment="1" applyProtection="1">
      <alignment vertical="center"/>
      <protection locked="0"/>
    </xf>
    <xf numFmtId="165" fontId="10" fillId="0" borderId="0" xfId="2" applyNumberFormat="1" applyFont="1" applyFill="1" applyBorder="1" applyAlignment="1" applyProtection="1">
      <alignment vertical="center" wrapText="1"/>
      <protection locked="0"/>
    </xf>
    <xf numFmtId="165" fontId="8" fillId="0" borderId="0" xfId="0" applyNumberFormat="1" applyFont="1" applyFill="1" applyBorder="1" applyAlignment="1" applyProtection="1">
      <alignment vertical="center"/>
      <protection locked="0"/>
    </xf>
    <xf numFmtId="165" fontId="10" fillId="0" borderId="0" xfId="0" applyNumberFormat="1" applyFont="1" applyAlignment="1" applyProtection="1">
      <alignment vertical="center"/>
    </xf>
    <xf numFmtId="166" fontId="7" fillId="0" borderId="0" xfId="0" applyNumberFormat="1" applyFont="1" applyFill="1" applyBorder="1" applyAlignment="1" applyProtection="1">
      <alignment vertical="center"/>
    </xf>
    <xf numFmtId="166" fontId="7" fillId="0" borderId="0" xfId="0" applyNumberFormat="1" applyFont="1" applyFill="1" applyBorder="1" applyAlignment="1" applyProtection="1">
      <alignment vertical="center" wrapText="1"/>
      <protection locked="0"/>
    </xf>
    <xf numFmtId="166" fontId="7" fillId="0" borderId="0" xfId="0" applyNumberFormat="1" applyFont="1" applyFill="1" applyBorder="1" applyAlignment="1" applyProtection="1">
      <alignment vertical="center"/>
      <protection locked="0"/>
    </xf>
    <xf numFmtId="164" fontId="16" fillId="0" borderId="0" xfId="0" applyNumberFormat="1" applyFont="1" applyBorder="1" applyAlignment="1">
      <alignment vertical="center"/>
    </xf>
    <xf numFmtId="164" fontId="10" fillId="0" borderId="0" xfId="0" applyNumberFormat="1" applyFont="1" applyAlignment="1">
      <alignment vertical="center"/>
    </xf>
    <xf numFmtId="164" fontId="16" fillId="0" borderId="0" xfId="0" applyNumberFormat="1" applyFont="1" applyAlignment="1">
      <alignment vertical="center"/>
    </xf>
    <xf numFmtId="0" fontId="10" fillId="0" borderId="0" xfId="13" applyFont="1" applyBorder="1" applyAlignment="1">
      <alignment vertical="center"/>
    </xf>
    <xf numFmtId="0" fontId="81" fillId="0" borderId="0" xfId="0" applyFont="1" applyFill="1"/>
    <xf numFmtId="3" fontId="81" fillId="0" borderId="0" xfId="0" applyNumberFormat="1" applyFont="1" applyFill="1" applyAlignment="1">
      <alignment horizontal="right" vertical="center"/>
    </xf>
    <xf numFmtId="0" fontId="80" fillId="0" borderId="0" xfId="0" applyFont="1" applyFill="1" applyAlignment="1"/>
    <xf numFmtId="0" fontId="108" fillId="0" borderId="0" xfId="0" applyFont="1" applyFill="1"/>
    <xf numFmtId="2" fontId="108" fillId="0" borderId="0" xfId="0" applyNumberFormat="1" applyFont="1" applyFill="1"/>
    <xf numFmtId="2" fontId="110" fillId="0" borderId="1" xfId="0" applyNumberFormat="1" applyFont="1" applyFill="1" applyBorder="1" applyAlignment="1">
      <alignment horizontal="right" vertical="center"/>
    </xf>
    <xf numFmtId="0" fontId="85" fillId="0" borderId="0" xfId="0" applyFont="1" applyFill="1" applyAlignment="1">
      <alignment horizontal="left" wrapText="1"/>
    </xf>
    <xf numFmtId="165" fontId="108" fillId="0" borderId="0" xfId="0" applyNumberFormat="1" applyFont="1" applyFill="1"/>
    <xf numFmtId="0" fontId="85" fillId="0" borderId="0" xfId="0" applyFont="1" applyFill="1" applyBorder="1"/>
    <xf numFmtId="3" fontId="85" fillId="0" borderId="0" xfId="18" applyNumberFormat="1" applyFont="1" applyFill="1" applyBorder="1" applyAlignment="1" applyProtection="1"/>
    <xf numFmtId="3" fontId="111" fillId="0" borderId="0" xfId="18" applyNumberFormat="1" applyFont="1" applyFill="1" applyBorder="1" applyAlignment="1" applyProtection="1"/>
    <xf numFmtId="164" fontId="10" fillId="0" borderId="0" xfId="0" applyNumberFormat="1" applyFont="1" applyFill="1" applyBorder="1" applyAlignment="1" applyProtection="1">
      <alignment wrapText="1"/>
      <protection locked="0"/>
    </xf>
    <xf numFmtId="164" fontId="8" fillId="0" borderId="0" xfId="0" applyNumberFormat="1" applyFont="1" applyFill="1" applyBorder="1" applyAlignment="1" applyProtection="1"/>
    <xf numFmtId="164" fontId="10" fillId="0" borderId="0" xfId="0" applyNumberFormat="1" applyFont="1" applyAlignment="1" applyProtection="1">
      <protection locked="0"/>
    </xf>
    <xf numFmtId="164" fontId="92" fillId="0" borderId="0" xfId="0" applyNumberFormat="1" applyFont="1" applyAlignment="1"/>
    <xf numFmtId="164" fontId="93" fillId="0" borderId="0" xfId="0" applyNumberFormat="1" applyFont="1" applyAlignment="1"/>
    <xf numFmtId="164" fontId="10" fillId="0" borderId="0" xfId="9" applyNumberFormat="1" applyFont="1" applyFill="1" applyBorder="1" applyAlignment="1" applyProtection="1">
      <alignment wrapText="1"/>
      <protection locked="0"/>
    </xf>
    <xf numFmtId="164" fontId="10" fillId="0" borderId="0" xfId="14" applyNumberFormat="1" applyFont="1" applyAlignment="1"/>
    <xf numFmtId="164" fontId="16" fillId="0" borderId="0" xfId="14" applyNumberFormat="1" applyFont="1" applyBorder="1" applyAlignment="1"/>
    <xf numFmtId="164" fontId="10" fillId="0" borderId="0" xfId="0" applyNumberFormat="1" applyFont="1" applyFill="1" applyBorder="1" applyAlignment="1"/>
    <xf numFmtId="164" fontId="10" fillId="0" borderId="0" xfId="0" applyNumberFormat="1" applyFont="1" applyFill="1" applyBorder="1" applyAlignment="1" applyProtection="1">
      <protection locked="0"/>
    </xf>
    <xf numFmtId="164" fontId="16" fillId="0" borderId="0" xfId="0" applyNumberFormat="1" applyFont="1" applyFill="1" applyBorder="1" applyAlignment="1" applyProtection="1"/>
    <xf numFmtId="164" fontId="10" fillId="0" borderId="0" xfId="0" applyNumberFormat="1" applyFont="1" applyAlignment="1"/>
    <xf numFmtId="164" fontId="10" fillId="0" borderId="0" xfId="0" applyNumberFormat="1" applyFont="1" applyBorder="1" applyAlignment="1"/>
    <xf numFmtId="0" fontId="7" fillId="0" borderId="0" xfId="0" applyFont="1" applyAlignment="1">
      <alignment horizontal="left" vertical="center" wrapText="1"/>
    </xf>
    <xf numFmtId="165" fontId="16" fillId="0" borderId="0" xfId="0" applyNumberFormat="1" applyFont="1" applyAlignment="1">
      <alignment horizontal="right"/>
    </xf>
    <xf numFmtId="0" fontId="112" fillId="0" borderId="0" xfId="0" applyFont="1" applyFill="1"/>
    <xf numFmtId="0" fontId="112" fillId="0" borderId="0" xfId="0" applyFont="1" applyFill="1" applyAlignment="1"/>
    <xf numFmtId="0" fontId="18" fillId="0" borderId="0" xfId="0" applyFont="1" applyAlignment="1"/>
    <xf numFmtId="0" fontId="18" fillId="0" borderId="0" xfId="0" applyFont="1" applyFill="1" applyAlignment="1">
      <alignment horizontal="center" vertical="center"/>
    </xf>
    <xf numFmtId="0" fontId="18" fillId="0" borderId="0" xfId="0" applyFont="1" applyAlignment="1">
      <alignment horizontal="center" vertical="center"/>
    </xf>
    <xf numFmtId="0" fontId="9" fillId="0" borderId="0" xfId="0" applyFont="1" applyFill="1" applyAlignment="1">
      <alignment horizontal="left" vertical="center"/>
    </xf>
    <xf numFmtId="166" fontId="10" fillId="0" borderId="0" xfId="0" applyNumberFormat="1" applyFont="1" applyBorder="1"/>
    <xf numFmtId="166" fontId="16" fillId="0" borderId="0" xfId="0" applyNumberFormat="1" applyFont="1" applyBorder="1"/>
    <xf numFmtId="0" fontId="18" fillId="0" borderId="0" xfId="0" applyFont="1" applyFill="1" applyBorder="1" applyAlignment="1">
      <alignment vertical="center" wrapText="1"/>
    </xf>
    <xf numFmtId="3" fontId="16" fillId="0" borderId="0" xfId="9" applyNumberFormat="1" applyFont="1" applyFill="1" applyBorder="1" applyAlignment="1">
      <alignment horizontal="right" vertical="center" wrapText="1"/>
    </xf>
    <xf numFmtId="3" fontId="10" fillId="0" borderId="0" xfId="2" applyNumberFormat="1" applyFont="1" applyFill="1" applyBorder="1" applyAlignment="1">
      <alignment horizontal="right" vertical="center"/>
    </xf>
    <xf numFmtId="0" fontId="16" fillId="0" borderId="0" xfId="0" applyFont="1" applyFill="1" applyAlignment="1">
      <alignment horizontal="center" vertical="center"/>
    </xf>
    <xf numFmtId="0" fontId="21" fillId="0" borderId="0" xfId="0" applyFont="1" applyFill="1" applyAlignment="1">
      <alignment vertical="center"/>
    </xf>
    <xf numFmtId="165" fontId="7" fillId="0" borderId="0" xfId="0" applyNumberFormat="1" applyFont="1" applyFill="1" applyBorder="1" applyAlignment="1" applyProtection="1">
      <alignment horizontal="right" vertical="center" wrapText="1"/>
      <protection locked="0"/>
    </xf>
    <xf numFmtId="165" fontId="8" fillId="0" borderId="0" xfId="0" applyNumberFormat="1" applyFont="1" applyFill="1" applyBorder="1" applyAlignment="1" applyProtection="1">
      <alignment horizontal="right" vertical="center"/>
    </xf>
    <xf numFmtId="165" fontId="10" fillId="0" borderId="0" xfId="0" applyNumberFormat="1" applyFont="1" applyFill="1" applyAlignment="1" applyProtection="1">
      <alignment vertical="center"/>
      <protection locked="0"/>
    </xf>
    <xf numFmtId="0" fontId="115" fillId="0" borderId="0" xfId="0" applyFont="1" applyFill="1"/>
    <xf numFmtId="0" fontId="115" fillId="0" borderId="0" xfId="0" applyFont="1"/>
    <xf numFmtId="0" fontId="116" fillId="0" borderId="0" xfId="0" applyFont="1"/>
    <xf numFmtId="0" fontId="115" fillId="0" borderId="0" xfId="0" applyFont="1" applyAlignment="1">
      <alignment horizontal="left"/>
    </xf>
    <xf numFmtId="164" fontId="117" fillId="0" borderId="0" xfId="0" applyNumberFormat="1" applyFont="1"/>
    <xf numFmtId="0" fontId="118" fillId="3" borderId="0" xfId="0" applyFont="1" applyFill="1"/>
    <xf numFmtId="3" fontId="18" fillId="0" borderId="0" xfId="0" applyNumberFormat="1" applyFont="1" applyAlignment="1">
      <alignment vertical="center" wrapText="1"/>
    </xf>
    <xf numFmtId="3" fontId="118" fillId="0" borderId="0" xfId="0" applyNumberFormat="1" applyFont="1" applyFill="1" applyBorder="1" applyAlignment="1" applyProtection="1">
      <alignment vertical="center"/>
      <protection locked="0"/>
    </xf>
    <xf numFmtId="3" fontId="118" fillId="0" borderId="0" xfId="0" applyNumberFormat="1" applyFont="1" applyFill="1" applyBorder="1" applyAlignment="1" applyProtection="1">
      <alignment horizontal="right" vertical="center"/>
    </xf>
    <xf numFmtId="3" fontId="119" fillId="0" borderId="0" xfId="0" applyNumberFormat="1" applyFont="1" applyFill="1" applyBorder="1" applyAlignment="1" applyProtection="1">
      <alignment vertical="center"/>
      <protection locked="0"/>
    </xf>
    <xf numFmtId="3" fontId="119" fillId="0" borderId="0" xfId="0" applyNumberFormat="1" applyFont="1" applyFill="1" applyBorder="1" applyAlignment="1" applyProtection="1">
      <alignment horizontal="right" vertical="center"/>
    </xf>
    <xf numFmtId="3" fontId="89" fillId="0" borderId="0" xfId="0" quotePrefix="1" applyNumberFormat="1" applyFont="1" applyBorder="1" applyAlignment="1">
      <alignment horizontal="right"/>
    </xf>
    <xf numFmtId="0" fontId="97" fillId="0" borderId="0" xfId="0" applyFont="1"/>
    <xf numFmtId="0" fontId="97" fillId="0" borderId="0" xfId="0" applyFont="1" applyFill="1" applyBorder="1"/>
    <xf numFmtId="0" fontId="95" fillId="0" borderId="0" xfId="0" applyFont="1" applyFill="1" applyBorder="1" applyAlignment="1">
      <alignment horizontal="left" vertical="center" wrapText="1"/>
    </xf>
    <xf numFmtId="0" fontId="120" fillId="0" borderId="0" xfId="0" applyFont="1" applyFill="1" applyBorder="1" applyAlignment="1"/>
    <xf numFmtId="0" fontId="18" fillId="0" borderId="0" xfId="0" applyFont="1" applyProtection="1">
      <protection locked="0"/>
    </xf>
    <xf numFmtId="0" fontId="10" fillId="0" borderId="0" xfId="0" applyFont="1" applyProtection="1">
      <protection locked="0"/>
    </xf>
    <xf numFmtId="0" fontId="15" fillId="0" borderId="0" xfId="0" applyFont="1" applyProtection="1">
      <protection locked="0"/>
    </xf>
    <xf numFmtId="0" fontId="57" fillId="0" borderId="0" xfId="0" applyFont="1" applyProtection="1">
      <protection locked="0"/>
    </xf>
    <xf numFmtId="0" fontId="16" fillId="0" borderId="0" xfId="0" applyFont="1" applyAlignment="1" applyProtection="1">
      <alignment vertical="center"/>
      <protection locked="0"/>
    </xf>
    <xf numFmtId="0" fontId="10" fillId="0" borderId="0" xfId="0" applyFont="1" applyAlignment="1" applyProtection="1">
      <alignment horizontal="right"/>
      <protection locked="0"/>
    </xf>
    <xf numFmtId="0" fontId="16" fillId="0" borderId="0" xfId="0" applyFont="1" applyFill="1" applyBorder="1" applyProtection="1">
      <protection locked="0"/>
    </xf>
    <xf numFmtId="0" fontId="10" fillId="0" borderId="0" xfId="0" applyFont="1" applyBorder="1" applyAlignment="1" applyProtection="1">
      <alignment horizontal="right" vertical="center"/>
      <protection locked="0"/>
    </xf>
    <xf numFmtId="0" fontId="10" fillId="0" borderId="0" xfId="0" applyFont="1" applyBorder="1" applyAlignment="1" applyProtection="1">
      <alignment horizontal="right" vertical="center" wrapText="1"/>
      <protection locked="0"/>
    </xf>
    <xf numFmtId="0" fontId="16" fillId="0" borderId="0" xfId="0" applyFont="1" applyFill="1" applyBorder="1" applyAlignment="1" applyProtection="1">
      <alignment horizontal="right" vertical="center" wrapText="1"/>
      <protection locked="0"/>
    </xf>
    <xf numFmtId="0" fontId="18" fillId="0" borderId="0" xfId="0" applyFont="1" applyAlignment="1" applyProtection="1">
      <alignment horizontal="right"/>
      <protection locked="0"/>
    </xf>
    <xf numFmtId="0" fontId="10" fillId="0" borderId="0" xfId="0" applyFont="1" applyBorder="1" applyAlignment="1" applyProtection="1">
      <alignment horizontal="center" vertical="center"/>
      <protection locked="0"/>
    </xf>
    <xf numFmtId="0" fontId="18" fillId="0" borderId="0" xfId="0" applyFont="1" applyFill="1" applyProtection="1">
      <protection locked="0"/>
    </xf>
    <xf numFmtId="3" fontId="18" fillId="0" borderId="0" xfId="0" applyNumberFormat="1" applyFont="1" applyFill="1" applyBorder="1" applyAlignment="1" applyProtection="1">
      <alignment vertical="center"/>
      <protection locked="0"/>
    </xf>
    <xf numFmtId="0" fontId="10" fillId="0" borderId="0" xfId="0" applyFont="1" applyFill="1" applyProtection="1">
      <protection locked="0"/>
    </xf>
    <xf numFmtId="3" fontId="10" fillId="0" borderId="0" xfId="0" applyNumberFormat="1" applyFont="1" applyFill="1" applyProtection="1">
      <protection locked="0"/>
    </xf>
    <xf numFmtId="3" fontId="16" fillId="0" borderId="0" xfId="0" applyNumberFormat="1" applyFont="1" applyFill="1" applyProtection="1">
      <protection locked="0"/>
    </xf>
    <xf numFmtId="3" fontId="18" fillId="0" borderId="0" xfId="0" applyNumberFormat="1" applyFont="1" applyProtection="1">
      <protection locked="0"/>
    </xf>
    <xf numFmtId="0" fontId="10" fillId="0" borderId="0" xfId="0" applyFont="1" applyFill="1" applyBorder="1" applyAlignment="1" applyProtection="1">
      <alignment horizontal="left" vertical="center"/>
      <protection locked="0"/>
    </xf>
    <xf numFmtId="3" fontId="10" fillId="0" borderId="0" xfId="17" applyNumberFormat="1" applyFont="1" applyFill="1" applyProtection="1">
      <protection locked="0"/>
    </xf>
    <xf numFmtId="3" fontId="10" fillId="0" borderId="0" xfId="0" applyNumberFormat="1" applyFont="1" applyFill="1" applyAlignment="1" applyProtection="1">
      <alignment horizontal="right" vertical="center" wrapText="1"/>
      <protection locked="0"/>
    </xf>
    <xf numFmtId="0" fontId="59" fillId="0" borderId="0" xfId="0" applyFont="1" applyProtection="1">
      <protection locked="0"/>
    </xf>
    <xf numFmtId="0" fontId="12" fillId="0" borderId="0" xfId="0" applyFont="1" applyProtection="1">
      <protection locked="0"/>
    </xf>
    <xf numFmtId="0" fontId="12" fillId="0" borderId="0" xfId="0" applyFont="1" applyFill="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0" xfId="0" applyFont="1" applyBorder="1" applyProtection="1">
      <protection locked="0"/>
    </xf>
    <xf numFmtId="0" fontId="12" fillId="0" borderId="0" xfId="0" applyFont="1" applyBorder="1" applyAlignment="1" applyProtection="1">
      <alignment horizontal="left" vertical="center"/>
      <protection locked="0"/>
    </xf>
    <xf numFmtId="0" fontId="16" fillId="0" borderId="0" xfId="0" applyFont="1" applyBorder="1" applyProtection="1">
      <protection locked="0"/>
    </xf>
    <xf numFmtId="0" fontId="16" fillId="0" borderId="0" xfId="0" applyFont="1" applyProtection="1">
      <protection locked="0"/>
    </xf>
    <xf numFmtId="0" fontId="12" fillId="0" borderId="0" xfId="0" applyFont="1" applyAlignment="1" applyProtection="1">
      <protection locked="0"/>
    </xf>
    <xf numFmtId="0" fontId="10" fillId="0" borderId="0" xfId="0" applyFont="1" applyProtection="1"/>
    <xf numFmtId="0" fontId="15" fillId="0" borderId="0" xfId="0" applyFont="1" applyProtection="1"/>
    <xf numFmtId="0" fontId="10" fillId="0" borderId="0" xfId="0" applyFont="1" applyAlignment="1" applyProtection="1">
      <alignment horizontal="right"/>
    </xf>
    <xf numFmtId="0" fontId="12" fillId="0" borderId="0" xfId="0" applyFont="1" applyProtection="1"/>
    <xf numFmtId="3" fontId="10" fillId="0" borderId="0" xfId="0" applyNumberFormat="1" applyFont="1" applyProtection="1"/>
    <xf numFmtId="0" fontId="109" fillId="0" borderId="0" xfId="0" quotePrefix="1" applyFont="1" applyFill="1" applyBorder="1" applyAlignment="1">
      <alignment vertical="top"/>
    </xf>
    <xf numFmtId="0" fontId="12" fillId="0" borderId="0" xfId="0" applyFont="1" applyAlignment="1">
      <alignment wrapText="1"/>
    </xf>
    <xf numFmtId="166" fontId="10" fillId="0" borderId="0" xfId="14" applyNumberFormat="1" applyFont="1" applyBorder="1" applyAlignment="1">
      <alignment horizontal="right" vertical="center"/>
    </xf>
    <xf numFmtId="164" fontId="12" fillId="0" borderId="0" xfId="0" quotePrefix="1" applyNumberFormat="1" applyFont="1" applyFill="1" applyAlignment="1">
      <alignment horizontal="right"/>
    </xf>
    <xf numFmtId="164" fontId="11" fillId="0" borderId="0" xfId="0" quotePrefix="1" applyNumberFormat="1" applyFont="1" applyFill="1" applyAlignment="1">
      <alignment horizontal="right"/>
    </xf>
    <xf numFmtId="165" fontId="12" fillId="0" borderId="0" xfId="2" applyNumberFormat="1" applyFont="1" applyFill="1" applyBorder="1" applyAlignment="1">
      <alignment vertical="center"/>
    </xf>
    <xf numFmtId="165" fontId="11" fillId="0" borderId="0" xfId="2" applyNumberFormat="1" applyFont="1" applyFill="1" applyBorder="1" applyAlignment="1">
      <alignment vertical="center"/>
    </xf>
    <xf numFmtId="164" fontId="18" fillId="0" borderId="0" xfId="0" applyNumberFormat="1" applyFont="1" applyFill="1" applyAlignment="1">
      <alignment wrapText="1"/>
    </xf>
    <xf numFmtId="0" fontId="16" fillId="0" borderId="0" xfId="0" applyFont="1" applyFill="1" applyBorder="1" applyAlignment="1" applyProtection="1">
      <alignment horizontal="left" vertical="center"/>
      <protection locked="0"/>
    </xf>
    <xf numFmtId="3" fontId="16" fillId="0" borderId="0" xfId="0" applyNumberFormat="1" applyFont="1" applyFill="1" applyAlignment="1" applyProtection="1">
      <alignment horizontal="right" vertical="center" wrapText="1"/>
      <protection locked="0"/>
    </xf>
    <xf numFmtId="0" fontId="10" fillId="0" borderId="0" xfId="0" applyFont="1" applyFill="1" applyProtection="1"/>
    <xf numFmtId="0" fontId="16" fillId="0" borderId="0" xfId="0" applyFont="1" applyFill="1" applyProtection="1">
      <protection locked="0"/>
    </xf>
    <xf numFmtId="0" fontId="10" fillId="0" borderId="0" xfId="0" applyFont="1" applyFill="1" applyBorder="1" applyAlignment="1" applyProtection="1">
      <alignment horizontal="left" vertical="center" wrapText="1"/>
      <protection locked="0"/>
    </xf>
    <xf numFmtId="0" fontId="21" fillId="0" borderId="0" xfId="0" applyFont="1" applyFill="1" applyProtection="1">
      <protection locked="0"/>
    </xf>
    <xf numFmtId="0" fontId="16" fillId="0" borderId="0" xfId="0" applyFont="1" applyFill="1" applyProtection="1"/>
    <xf numFmtId="172" fontId="12" fillId="0" borderId="0" xfId="0" applyNumberFormat="1" applyFont="1" applyFill="1" applyAlignment="1" applyProtection="1">
      <alignment horizontal="right" vertical="center" wrapText="1"/>
      <protection locked="0"/>
    </xf>
    <xf numFmtId="172" fontId="11" fillId="0" borderId="0" xfId="0" applyNumberFormat="1" applyFont="1" applyFill="1" applyAlignment="1" applyProtection="1">
      <alignment horizontal="right" vertical="center" wrapText="1"/>
      <protection locked="0"/>
    </xf>
    <xf numFmtId="0" fontId="48" fillId="0" borderId="0" xfId="0" applyFont="1" applyFill="1" applyBorder="1" applyAlignment="1">
      <alignment horizontal="right" vertical="center"/>
    </xf>
    <xf numFmtId="0" fontId="47" fillId="0" borderId="0" xfId="0" applyFont="1" applyFill="1" applyAlignment="1">
      <alignment horizontal="right" vertical="center"/>
    </xf>
    <xf numFmtId="0" fontId="97" fillId="0" borderId="0" xfId="6" applyFont="1" applyFill="1" applyAlignment="1"/>
    <xf numFmtId="172" fontId="10" fillId="0" borderId="0" xfId="9" applyNumberFormat="1" applyFont="1" applyFill="1" applyBorder="1" applyAlignment="1" applyProtection="1">
      <alignment horizontal="right" vertical="center" wrapText="1"/>
      <protection locked="0"/>
    </xf>
    <xf numFmtId="172" fontId="16" fillId="0" borderId="0" xfId="9" applyNumberFormat="1" applyFont="1" applyFill="1" applyBorder="1" applyAlignment="1" applyProtection="1">
      <alignment horizontal="right" vertical="center" wrapText="1"/>
      <protection locked="0"/>
    </xf>
    <xf numFmtId="172" fontId="10" fillId="0" borderId="0" xfId="0" applyNumberFormat="1" applyFont="1" applyAlignment="1" applyProtection="1">
      <alignment horizontal="right" vertical="center"/>
      <protection locked="0"/>
    </xf>
    <xf numFmtId="0" fontId="121" fillId="0" borderId="0" xfId="0" applyFont="1"/>
    <xf numFmtId="3" fontId="121" fillId="0" borderId="0" xfId="0" applyNumberFormat="1" applyFont="1"/>
    <xf numFmtId="3" fontId="122" fillId="0" borderId="0" xfId="0" applyNumberFormat="1" applyFont="1"/>
    <xf numFmtId="3" fontId="12" fillId="0" borderId="0" xfId="0" applyNumberFormat="1" applyFont="1" applyFill="1" applyBorder="1" applyAlignment="1">
      <alignment horizontal="right" vertical="center" wrapText="1"/>
    </xf>
    <xf numFmtId="3" fontId="11" fillId="0" borderId="0" xfId="0" applyNumberFormat="1" applyFont="1" applyFill="1" applyBorder="1" applyAlignment="1">
      <alignment horizontal="right" vertical="center" wrapText="1"/>
    </xf>
    <xf numFmtId="3" fontId="12" fillId="0" borderId="0" xfId="9" applyNumberFormat="1" applyFont="1" applyFill="1" applyBorder="1" applyAlignment="1">
      <alignment horizontal="right" vertical="center" wrapText="1"/>
    </xf>
    <xf numFmtId="3" fontId="11" fillId="0" borderId="0" xfId="9" applyNumberFormat="1" applyFont="1" applyFill="1" applyBorder="1" applyAlignment="1">
      <alignment horizontal="right" vertical="center" wrapText="1"/>
    </xf>
    <xf numFmtId="0" fontId="56" fillId="0" borderId="0" xfId="1" applyAlignment="1" applyProtection="1">
      <alignment horizontal="center"/>
    </xf>
    <xf numFmtId="0" fontId="123" fillId="0" borderId="0" xfId="0" applyFont="1" applyFill="1" applyAlignment="1">
      <alignment horizontal="left" vertical="center"/>
    </xf>
    <xf numFmtId="3" fontId="121" fillId="0" borderId="0" xfId="0" applyNumberFormat="1" applyFont="1" applyBorder="1" applyAlignment="1">
      <alignment vertical="center"/>
    </xf>
    <xf numFmtId="3" fontId="124" fillId="0" borderId="0" xfId="0" applyNumberFormat="1" applyFont="1" applyAlignment="1">
      <alignment vertical="center"/>
    </xf>
    <xf numFmtId="3" fontId="125" fillId="0" borderId="0" xfId="0" applyNumberFormat="1" applyFont="1" applyAlignment="1">
      <alignment vertical="center"/>
    </xf>
    <xf numFmtId="165" fontId="12" fillId="0" borderId="0" xfId="0" applyNumberFormat="1" applyFont="1" applyFill="1" applyBorder="1" applyAlignment="1">
      <alignment horizontal="right" vertical="center" wrapText="1"/>
    </xf>
    <xf numFmtId="3" fontId="17" fillId="0" borderId="0" xfId="0" applyNumberFormat="1"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2" fillId="0" borderId="0" xfId="0" applyNumberFormat="1" applyFont="1" applyFill="1"/>
    <xf numFmtId="165" fontId="11" fillId="0" borderId="0" xfId="0" applyNumberFormat="1" applyFont="1" applyFill="1" applyBorder="1"/>
    <xf numFmtId="165" fontId="17" fillId="0" borderId="0" xfId="0" applyNumberFormat="1" applyFont="1" applyFill="1" applyBorder="1" applyAlignment="1" applyProtection="1">
      <alignment vertical="center"/>
      <protection locked="0"/>
    </xf>
    <xf numFmtId="165" fontId="12" fillId="0" borderId="0" xfId="0" applyNumberFormat="1" applyFont="1" applyAlignment="1" applyProtection="1">
      <alignment horizontal="right" vertical="center"/>
      <protection locked="0"/>
    </xf>
    <xf numFmtId="165" fontId="12" fillId="0" borderId="0" xfId="0" applyNumberFormat="1" applyFont="1" applyFill="1" applyBorder="1" applyAlignment="1" applyProtection="1">
      <alignment vertical="center"/>
    </xf>
    <xf numFmtId="165" fontId="11" fillId="0" borderId="0" xfId="0" applyNumberFormat="1" applyFont="1" applyFill="1" applyBorder="1" applyAlignment="1" applyProtection="1">
      <alignment vertical="center"/>
    </xf>
    <xf numFmtId="3" fontId="7" fillId="0" borderId="0" xfId="0" quotePrefix="1" applyNumberFormat="1" applyFont="1" applyFill="1" applyBorder="1" applyAlignment="1" applyProtection="1">
      <alignment vertical="center"/>
      <protection locked="0"/>
    </xf>
    <xf numFmtId="3" fontId="7" fillId="0" borderId="0" xfId="0" applyNumberFormat="1" applyFont="1" applyFill="1" applyAlignment="1">
      <alignment vertical="center"/>
    </xf>
    <xf numFmtId="164" fontId="10" fillId="0" borderId="0"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164" fontId="10" fillId="0" borderId="0" xfId="0" applyNumberFormat="1" applyFont="1" applyFill="1" applyBorder="1" applyAlignment="1">
      <alignment vertical="center"/>
    </xf>
    <xf numFmtId="0" fontId="0" fillId="0" borderId="0" xfId="0" applyFont="1" applyFill="1" applyAlignment="1">
      <alignment vertical="center"/>
    </xf>
    <xf numFmtId="164" fontId="10" fillId="0" borderId="0" xfId="0" applyNumberFormat="1" applyFont="1" applyFill="1" applyAlignment="1">
      <alignment vertical="center"/>
    </xf>
    <xf numFmtId="166" fontId="9" fillId="0" borderId="0" xfId="0" applyNumberFormat="1" applyFont="1" applyFill="1" applyBorder="1" applyAlignment="1" applyProtection="1">
      <alignment vertical="center"/>
      <protection locked="0"/>
    </xf>
    <xf numFmtId="166" fontId="12" fillId="0" borderId="0" xfId="0" applyNumberFormat="1" applyFont="1" applyFill="1" applyAlignment="1" applyProtection="1">
      <alignment vertical="center"/>
    </xf>
    <xf numFmtId="0" fontId="16" fillId="0" borderId="0" xfId="13" applyFont="1" applyFill="1" applyBorder="1" applyAlignment="1">
      <alignment vertical="center"/>
    </xf>
    <xf numFmtId="164" fontId="16" fillId="0" borderId="0" xfId="0" applyNumberFormat="1" applyFont="1" applyFill="1" applyAlignment="1">
      <alignment vertical="center"/>
    </xf>
    <xf numFmtId="3" fontId="12" fillId="0" borderId="0" xfId="0" applyNumberFormat="1" applyFont="1" applyFill="1" applyAlignment="1" applyProtection="1">
      <alignment horizontal="right" vertical="center" wrapText="1"/>
      <protection locked="0"/>
    </xf>
    <xf numFmtId="1" fontId="0" fillId="0" borderId="0" xfId="0" applyNumberFormat="1" applyAlignment="1">
      <alignment vertical="center"/>
    </xf>
    <xf numFmtId="9" fontId="10" fillId="0" borderId="0" xfId="0" applyNumberFormat="1" applyFont="1"/>
    <xf numFmtId="3" fontId="11" fillId="0" borderId="0" xfId="0" applyNumberFormat="1" applyFont="1" applyFill="1" applyAlignment="1">
      <alignment horizontal="right" vertical="center"/>
    </xf>
    <xf numFmtId="3" fontId="12" fillId="0" borderId="0" xfId="0" applyNumberFormat="1" applyFont="1" applyFill="1" applyAlignment="1">
      <alignment horizontal="right"/>
    </xf>
    <xf numFmtId="9" fontId="95" fillId="0" borderId="0" xfId="0" applyNumberFormat="1" applyFont="1" applyFill="1" applyAlignment="1">
      <alignment vertical="center"/>
    </xf>
    <xf numFmtId="3" fontId="89" fillId="0" borderId="0" xfId="0" applyNumberFormat="1" applyFont="1"/>
    <xf numFmtId="0" fontId="126" fillId="4" borderId="0" xfId="0" applyFont="1" applyFill="1" applyAlignment="1">
      <alignment horizontal="center" vertical="center"/>
    </xf>
    <xf numFmtId="0" fontId="126" fillId="4" borderId="0" xfId="0" applyFont="1" applyFill="1" applyAlignment="1">
      <alignment vertical="center"/>
    </xf>
    <xf numFmtId="0" fontId="114" fillId="0" borderId="0" xfId="0" applyFont="1" applyFill="1"/>
    <xf numFmtId="0" fontId="19" fillId="6" borderId="2" xfId="0" applyFont="1" applyFill="1" applyBorder="1" applyAlignment="1">
      <alignment horizontal="center" vertical="top"/>
    </xf>
    <xf numFmtId="0" fontId="20" fillId="6" borderId="3" xfId="0" applyFont="1" applyFill="1" applyBorder="1" applyAlignment="1">
      <alignment horizontal="center" vertical="top"/>
    </xf>
    <xf numFmtId="0" fontId="20" fillId="6" borderId="3" xfId="0" applyFont="1" applyFill="1" applyBorder="1" applyAlignment="1">
      <alignment horizontal="center" vertical="center"/>
    </xf>
    <xf numFmtId="0" fontId="20" fillId="6" borderId="4" xfId="0" applyFont="1" applyFill="1" applyBorder="1" applyAlignment="1">
      <alignment horizontal="center" vertical="center"/>
    </xf>
    <xf numFmtId="0" fontId="37" fillId="0" borderId="0" xfId="0" applyFont="1" applyFill="1"/>
    <xf numFmtId="0" fontId="16" fillId="6" borderId="0" xfId="0" applyFont="1" applyFill="1" applyBorder="1" applyAlignment="1">
      <alignment vertical="center"/>
    </xf>
    <xf numFmtId="0" fontId="16" fillId="6" borderId="0" xfId="0" applyFont="1" applyFill="1" applyAlignment="1">
      <alignment vertical="center"/>
    </xf>
    <xf numFmtId="164" fontId="16" fillId="6" borderId="0" xfId="0" applyNumberFormat="1" applyFont="1" applyFill="1" applyBorder="1" applyAlignment="1">
      <alignment vertical="center"/>
    </xf>
    <xf numFmtId="164" fontId="16" fillId="6" borderId="0" xfId="0" applyNumberFormat="1" applyFont="1" applyFill="1" applyAlignment="1">
      <alignment horizontal="right" vertical="center"/>
    </xf>
    <xf numFmtId="0" fontId="16" fillId="6" borderId="0" xfId="0" applyFont="1" applyFill="1" applyBorder="1" applyAlignment="1">
      <alignment horizontal="left" vertical="center"/>
    </xf>
    <xf numFmtId="3" fontId="8" fillId="6" borderId="0" xfId="0" applyNumberFormat="1" applyFont="1" applyFill="1" applyBorder="1" applyAlignment="1" applyProtection="1">
      <alignment vertical="center"/>
      <protection locked="0"/>
    </xf>
    <xf numFmtId="3" fontId="8" fillId="6" borderId="0" xfId="0" applyNumberFormat="1" applyFont="1" applyFill="1" applyBorder="1" applyAlignment="1" applyProtection="1">
      <alignment vertical="center"/>
    </xf>
    <xf numFmtId="3" fontId="16" fillId="6" borderId="0" xfId="0" applyNumberFormat="1" applyFont="1" applyFill="1" applyAlignment="1" applyProtection="1">
      <alignment vertical="center"/>
      <protection locked="0"/>
    </xf>
    <xf numFmtId="165" fontId="16" fillId="6" borderId="0" xfId="14" applyNumberFormat="1" applyFont="1" applyFill="1" applyBorder="1" applyAlignment="1">
      <alignment horizontal="right" vertical="center"/>
    </xf>
    <xf numFmtId="3" fontId="10" fillId="6" borderId="0" xfId="14" applyNumberFormat="1" applyFont="1" applyFill="1" applyBorder="1" applyAlignment="1">
      <alignment horizontal="right" vertical="center"/>
    </xf>
    <xf numFmtId="3" fontId="16" fillId="6" borderId="0" xfId="14" applyNumberFormat="1" applyFont="1" applyFill="1" applyBorder="1" applyAlignment="1">
      <alignment horizontal="right" vertical="center"/>
    </xf>
    <xf numFmtId="0" fontId="16" fillId="6" borderId="0" xfId="0" applyFont="1" applyFill="1"/>
    <xf numFmtId="3" fontId="16" fillId="6" borderId="0" xfId="0" applyNumberFormat="1" applyFont="1" applyFill="1"/>
    <xf numFmtId="49" fontId="16" fillId="6" borderId="0" xfId="0" applyNumberFormat="1" applyFont="1" applyFill="1"/>
    <xf numFmtId="0" fontId="16" fillId="6" borderId="0" xfId="0" applyFont="1" applyFill="1" applyBorder="1"/>
    <xf numFmtId="165" fontId="16" fillId="6" borderId="0" xfId="0" quotePrefix="1" applyNumberFormat="1" applyFont="1" applyFill="1" applyAlignment="1">
      <alignment horizontal="right"/>
    </xf>
    <xf numFmtId="3" fontId="27" fillId="6" borderId="0" xfId="0" applyNumberFormat="1" applyFont="1" applyFill="1" applyBorder="1"/>
    <xf numFmtId="3" fontId="16" fillId="6" borderId="0" xfId="0" applyNumberFormat="1" applyFont="1" applyFill="1" applyBorder="1"/>
    <xf numFmtId="0" fontId="16" fillId="6" borderId="0" xfId="0" applyFont="1" applyFill="1" applyAlignment="1"/>
    <xf numFmtId="165" fontId="8" fillId="6" borderId="0" xfId="0" applyNumberFormat="1" applyFont="1" applyFill="1" applyBorder="1" applyAlignment="1" applyProtection="1">
      <alignment horizontal="right" vertical="center"/>
    </xf>
    <xf numFmtId="165" fontId="16" fillId="6" borderId="0" xfId="0" applyNumberFormat="1" applyFont="1" applyFill="1" applyAlignment="1" applyProtection="1">
      <alignment vertical="center"/>
      <protection locked="0"/>
    </xf>
    <xf numFmtId="3" fontId="16" fillId="6" borderId="0" xfId="0" applyNumberFormat="1" applyFont="1" applyFill="1" applyAlignment="1">
      <alignment vertical="center"/>
    </xf>
    <xf numFmtId="3" fontId="8" fillId="6" borderId="0" xfId="2" applyNumberFormat="1" applyFont="1" applyFill="1" applyBorder="1" applyAlignment="1" applyProtection="1">
      <alignment vertical="center"/>
      <protection locked="0"/>
    </xf>
    <xf numFmtId="3" fontId="8" fillId="6" borderId="0" xfId="0" applyNumberFormat="1" applyFont="1" applyFill="1" applyBorder="1" applyAlignment="1" applyProtection="1">
      <alignment horizontal="right" vertical="center"/>
    </xf>
    <xf numFmtId="3" fontId="8" fillId="6" borderId="0" xfId="0" applyNumberFormat="1" applyFont="1" applyFill="1" applyAlignment="1" applyProtection="1">
      <alignment vertical="center"/>
      <protection locked="0"/>
    </xf>
    <xf numFmtId="0" fontId="16" fillId="6" borderId="0" xfId="0" applyFont="1" applyFill="1" applyBorder="1" applyAlignment="1" applyProtection="1">
      <alignment horizontal="left" vertical="center"/>
      <protection locked="0"/>
    </xf>
    <xf numFmtId="3" fontId="16" fillId="6" borderId="0" xfId="0" applyNumberFormat="1" applyFont="1" applyFill="1" applyAlignment="1" applyProtection="1">
      <alignment horizontal="right" vertical="center" wrapText="1"/>
      <protection locked="0"/>
    </xf>
    <xf numFmtId="3" fontId="16" fillId="6" borderId="0" xfId="0" applyNumberFormat="1" applyFont="1" applyFill="1" applyBorder="1" applyAlignment="1">
      <alignment horizontal="right" vertical="center" wrapText="1"/>
    </xf>
    <xf numFmtId="0" fontId="23" fillId="6" borderId="0" xfId="0" applyFont="1" applyFill="1" applyAlignment="1">
      <alignment horizontal="left"/>
    </xf>
    <xf numFmtId="3" fontId="16" fillId="6" borderId="0" xfId="0" applyNumberFormat="1" applyFont="1" applyFill="1" applyAlignment="1">
      <alignment horizontal="right"/>
    </xf>
    <xf numFmtId="0" fontId="16" fillId="6" borderId="0" xfId="0" applyFont="1" applyFill="1" applyAlignment="1">
      <alignment horizontal="left" vertical="center"/>
    </xf>
    <xf numFmtId="3" fontId="16" fillId="6" borderId="0" xfId="0" applyNumberFormat="1" applyFont="1" applyFill="1" applyAlignment="1">
      <alignment horizontal="right" vertical="center"/>
    </xf>
    <xf numFmtId="165" fontId="16" fillId="6" borderId="0" xfId="0" applyNumberFormat="1" applyFont="1" applyFill="1" applyBorder="1" applyAlignment="1">
      <alignment horizontal="right"/>
    </xf>
    <xf numFmtId="165" fontId="16" fillId="6" borderId="0" xfId="0" quotePrefix="1" applyNumberFormat="1" applyFont="1" applyFill="1" applyBorder="1" applyAlignment="1">
      <alignment horizontal="right"/>
    </xf>
    <xf numFmtId="165" fontId="16" fillId="6" borderId="0" xfId="0" applyNumberFormat="1" applyFont="1" applyFill="1" applyBorder="1" applyAlignment="1">
      <alignment vertical="center"/>
    </xf>
    <xf numFmtId="165" fontId="16" fillId="6" borderId="0" xfId="0" applyNumberFormat="1" applyFont="1" applyFill="1"/>
    <xf numFmtId="0" fontId="8" fillId="7" borderId="0" xfId="0" applyFont="1" applyFill="1" applyBorder="1" applyAlignment="1">
      <alignment horizontal="left" vertical="center"/>
    </xf>
    <xf numFmtId="3" fontId="16" fillId="6" borderId="0" xfId="15" applyNumberFormat="1" applyFont="1" applyFill="1" applyBorder="1" applyAlignment="1">
      <alignment horizontal="right" vertical="center"/>
    </xf>
    <xf numFmtId="0" fontId="8" fillId="6" borderId="0" xfId="0" applyFont="1" applyFill="1" applyBorder="1" applyAlignment="1">
      <alignment horizontal="left" vertical="center"/>
    </xf>
    <xf numFmtId="165" fontId="16" fillId="6" borderId="0" xfId="3" applyNumberFormat="1" applyFont="1" applyFill="1" applyBorder="1" applyAlignment="1">
      <alignment horizontal="right" vertical="center"/>
    </xf>
    <xf numFmtId="164" fontId="16" fillId="6" borderId="0" xfId="3" applyNumberFormat="1" applyFont="1" applyFill="1" applyBorder="1" applyAlignment="1">
      <alignment horizontal="right" vertical="center"/>
    </xf>
    <xf numFmtId="0" fontId="16" fillId="7" borderId="0" xfId="6" applyFont="1" applyFill="1"/>
    <xf numFmtId="3" fontId="16" fillId="7" borderId="0" xfId="6" applyNumberFormat="1" applyFont="1" applyFill="1"/>
    <xf numFmtId="3" fontId="16" fillId="7" borderId="0" xfId="16" applyNumberFormat="1" applyFont="1" applyFill="1" applyBorder="1" applyAlignment="1" applyProtection="1">
      <alignment vertical="center"/>
    </xf>
    <xf numFmtId="0" fontId="10" fillId="6" borderId="0" xfId="0" applyFont="1" applyFill="1"/>
    <xf numFmtId="0" fontId="27" fillId="6" borderId="0" xfId="0" applyFont="1" applyFill="1" applyBorder="1" applyAlignment="1">
      <alignment horizontal="left" vertical="center"/>
    </xf>
    <xf numFmtId="3" fontId="27" fillId="6" borderId="0" xfId="0" applyNumberFormat="1" applyFont="1" applyFill="1" applyAlignment="1">
      <alignment horizontal="right" vertical="center" wrapText="1"/>
    </xf>
    <xf numFmtId="3" fontId="16" fillId="6" borderId="0" xfId="0" applyNumberFormat="1" applyFont="1" applyFill="1" applyAlignment="1">
      <alignment horizontal="right" vertical="center" wrapText="1"/>
    </xf>
    <xf numFmtId="11" fontId="27" fillId="6" borderId="0" xfId="0" applyNumberFormat="1" applyFont="1" applyFill="1" applyBorder="1" applyAlignment="1">
      <alignment horizontal="left" vertical="center"/>
    </xf>
    <xf numFmtId="165" fontId="16" fillId="6" borderId="0" xfId="14" applyNumberFormat="1" applyFont="1" applyFill="1" applyAlignment="1">
      <alignment horizontal="right" vertical="center"/>
    </xf>
    <xf numFmtId="11" fontId="16" fillId="6" borderId="0" xfId="0" applyNumberFormat="1" applyFont="1" applyFill="1" applyBorder="1" applyAlignment="1">
      <alignment horizontal="left" vertical="center"/>
    </xf>
    <xf numFmtId="164" fontId="8" fillId="6" borderId="0" xfId="0" applyNumberFormat="1" applyFont="1" applyFill="1" applyBorder="1" applyAlignment="1" applyProtection="1">
      <alignment horizontal="right" wrapText="1"/>
    </xf>
    <xf numFmtId="166" fontId="16" fillId="6" borderId="0" xfId="0" applyNumberFormat="1" applyFont="1" applyFill="1" applyProtection="1">
      <protection locked="0"/>
    </xf>
    <xf numFmtId="3" fontId="16" fillId="6" borderId="0" xfId="0" applyNumberFormat="1" applyFont="1" applyFill="1" applyBorder="1" applyAlignment="1" applyProtection="1">
      <alignment horizontal="right"/>
    </xf>
    <xf numFmtId="3" fontId="16" fillId="6" borderId="0" xfId="0" applyNumberFormat="1" applyFont="1" applyFill="1" applyProtection="1">
      <protection locked="0"/>
    </xf>
    <xf numFmtId="0" fontId="10" fillId="6" borderId="0" xfId="0" applyFont="1" applyFill="1" applyBorder="1" applyAlignment="1">
      <alignment horizontal="right"/>
    </xf>
    <xf numFmtId="0" fontId="10" fillId="6" borderId="0" xfId="0" applyFont="1" applyFill="1" applyBorder="1"/>
    <xf numFmtId="3" fontId="16" fillId="6" borderId="0" xfId="0" applyNumberFormat="1" applyFont="1" applyFill="1" applyBorder="1" applyAlignment="1">
      <alignment horizontal="right"/>
    </xf>
    <xf numFmtId="3" fontId="16" fillId="6" borderId="0" xfId="2" applyNumberFormat="1" applyFont="1" applyFill="1" applyBorder="1" applyAlignment="1" applyProtection="1">
      <alignment wrapText="1"/>
      <protection locked="0"/>
    </xf>
    <xf numFmtId="3" fontId="8" fillId="6" borderId="0" xfId="0" applyNumberFormat="1" applyFont="1" applyFill="1" applyBorder="1" applyAlignment="1" applyProtection="1"/>
    <xf numFmtId="3" fontId="16" fillId="6" borderId="0" xfId="0" applyNumberFormat="1" applyFont="1" applyFill="1" applyAlignment="1" applyProtection="1">
      <protection locked="0"/>
    </xf>
    <xf numFmtId="3" fontId="16" fillId="6" borderId="0" xfId="2" applyNumberFormat="1" applyFont="1" applyFill="1" applyBorder="1" applyAlignment="1" applyProtection="1">
      <alignment horizontal="right" vertical="center" wrapText="1"/>
      <protection locked="0"/>
    </xf>
    <xf numFmtId="3" fontId="16" fillId="6" borderId="0" xfId="0" applyNumberFormat="1" applyFont="1" applyFill="1" applyBorder="1" applyAlignment="1" applyProtection="1">
      <alignment vertical="center"/>
      <protection locked="0"/>
    </xf>
    <xf numFmtId="3" fontId="16" fillId="6" borderId="0" xfId="2" applyNumberFormat="1" applyFont="1" applyFill="1" applyBorder="1" applyAlignment="1">
      <alignment horizontal="right" vertical="center"/>
    </xf>
    <xf numFmtId="3" fontId="10" fillId="6" borderId="0" xfId="2" applyNumberFormat="1" applyFont="1" applyFill="1" applyBorder="1" applyAlignment="1">
      <alignment horizontal="right" vertical="center"/>
    </xf>
    <xf numFmtId="165" fontId="16" fillId="6" borderId="0" xfId="2" applyNumberFormat="1" applyFont="1" applyFill="1" applyBorder="1" applyAlignment="1">
      <alignment horizontal="right" vertical="center"/>
    </xf>
    <xf numFmtId="0" fontId="8" fillId="6" borderId="0" xfId="0" applyFont="1" applyFill="1" applyAlignment="1">
      <alignment vertical="center"/>
    </xf>
    <xf numFmtId="3" fontId="35" fillId="6" borderId="0" xfId="0" applyNumberFormat="1" applyFont="1" applyFill="1" applyAlignment="1">
      <alignment vertical="center"/>
    </xf>
    <xf numFmtId="3" fontId="35" fillId="6" borderId="0" xfId="0" applyNumberFormat="1" applyFont="1" applyFill="1" applyAlignment="1">
      <alignment horizontal="right" vertical="center"/>
    </xf>
    <xf numFmtId="0" fontId="17" fillId="6" borderId="0" xfId="0" applyFont="1" applyFill="1" applyAlignment="1">
      <alignment vertical="center"/>
    </xf>
    <xf numFmtId="164" fontId="17" fillId="6" borderId="0" xfId="0" applyNumberFormat="1" applyFont="1" applyFill="1" applyAlignment="1">
      <alignment horizontal="right" vertical="center"/>
    </xf>
    <xf numFmtId="0" fontId="35" fillId="6" borderId="0" xfId="0" applyFont="1" applyFill="1" applyAlignment="1">
      <alignment vertical="center"/>
    </xf>
    <xf numFmtId="0" fontId="34" fillId="6" borderId="0" xfId="0" applyFont="1" applyFill="1" applyAlignment="1">
      <alignment horizontal="right" vertical="center"/>
    </xf>
    <xf numFmtId="3" fontId="16" fillId="6" borderId="0" xfId="0" applyNumberFormat="1" applyFont="1" applyFill="1" applyBorder="1" applyAlignment="1" applyProtection="1">
      <alignment vertical="center"/>
    </xf>
    <xf numFmtId="3" fontId="8" fillId="6" borderId="0" xfId="0" applyNumberFormat="1" applyFont="1" applyFill="1" applyAlignment="1">
      <alignment horizontal="right" vertical="center"/>
    </xf>
    <xf numFmtId="3" fontId="8" fillId="6" borderId="0" xfId="0" applyNumberFormat="1" applyFont="1" applyFill="1" applyBorder="1" applyAlignment="1">
      <alignment horizontal="right" vertical="center"/>
    </xf>
    <xf numFmtId="3" fontId="16" fillId="6" borderId="0" xfId="0" applyNumberFormat="1" applyFont="1" applyFill="1" applyBorder="1" applyAlignment="1">
      <alignment horizontal="right" vertical="center"/>
    </xf>
    <xf numFmtId="0" fontId="8" fillId="6" borderId="0" xfId="6" applyFont="1" applyFill="1" applyAlignment="1">
      <alignment vertical="center"/>
    </xf>
    <xf numFmtId="3" fontId="8" fillId="6" borderId="0" xfId="6" applyNumberFormat="1" applyFont="1" applyFill="1" applyAlignment="1">
      <alignment vertical="center"/>
    </xf>
    <xf numFmtId="3" fontId="8" fillId="6" borderId="0" xfId="0" applyNumberFormat="1" applyFont="1" applyFill="1" applyBorder="1" applyAlignment="1">
      <alignment vertical="center"/>
    </xf>
    <xf numFmtId="166" fontId="16" fillId="6" borderId="0" xfId="0" applyNumberFormat="1" applyFont="1" applyFill="1" applyAlignment="1">
      <alignment horizontal="right" vertical="center"/>
    </xf>
    <xf numFmtId="3" fontId="88" fillId="6" borderId="0" xfId="0" quotePrefix="1" applyNumberFormat="1" applyFont="1" applyFill="1" applyBorder="1"/>
    <xf numFmtId="165" fontId="16" fillId="6" borderId="0" xfId="0" applyNumberFormat="1" applyFont="1" applyFill="1" applyAlignment="1"/>
    <xf numFmtId="165" fontId="11" fillId="6" borderId="0" xfId="0" applyNumberFormat="1" applyFont="1" applyFill="1" applyAlignment="1">
      <alignment horizontal="right"/>
    </xf>
    <xf numFmtId="165" fontId="16" fillId="6" borderId="0" xfId="0" applyNumberFormat="1" applyFont="1" applyFill="1" applyAlignment="1">
      <alignment horizontal="right"/>
    </xf>
    <xf numFmtId="166" fontId="16" fillId="6" borderId="0" xfId="0" applyNumberFormat="1" applyFont="1" applyFill="1" applyAlignment="1"/>
    <xf numFmtId="165" fontId="88" fillId="6" borderId="0" xfId="0" applyNumberFormat="1" applyFont="1" applyFill="1" applyBorder="1"/>
    <xf numFmtId="0" fontId="101" fillId="6" borderId="2" xfId="0" applyFont="1" applyFill="1" applyBorder="1" applyAlignment="1">
      <alignment horizontal="center"/>
    </xf>
    <xf numFmtId="0" fontId="101" fillId="6" borderId="3" xfId="0" applyFont="1" applyFill="1" applyBorder="1" applyAlignment="1">
      <alignment horizontal="center"/>
    </xf>
    <xf numFmtId="0" fontId="56" fillId="6" borderId="4" xfId="1" applyFill="1" applyBorder="1" applyAlignment="1" applyProtection="1">
      <alignment horizontal="center"/>
    </xf>
    <xf numFmtId="0" fontId="7" fillId="0" borderId="5" xfId="0" applyFont="1" applyBorder="1" applyAlignment="1">
      <alignment vertical="center"/>
    </xf>
    <xf numFmtId="0" fontId="12" fillId="0" borderId="5" xfId="0" applyFont="1" applyBorder="1" applyAlignment="1">
      <alignment horizontal="center" vertical="center" wrapText="1"/>
    </xf>
    <xf numFmtId="0" fontId="11" fillId="0" borderId="5" xfId="0" applyFont="1" applyFill="1" applyBorder="1" applyAlignment="1">
      <alignment horizontal="center" vertical="center" wrapText="1"/>
    </xf>
    <xf numFmtId="0" fontId="12" fillId="0" borderId="0" xfId="0" applyFont="1" applyBorder="1" applyAlignment="1">
      <alignment horizontal="center" vertical="center" wrapText="1"/>
    </xf>
    <xf numFmtId="0" fontId="21" fillId="0" borderId="0" xfId="0" applyFont="1" applyFill="1" applyBorder="1"/>
    <xf numFmtId="0" fontId="97" fillId="0" borderId="0" xfId="0" applyFont="1" applyFill="1" applyBorder="1" applyAlignment="1">
      <alignment horizontal="left"/>
    </xf>
    <xf numFmtId="49" fontId="95" fillId="0" borderId="0" xfId="0" applyNumberFormat="1" applyFont="1" applyFill="1" applyBorder="1" applyAlignment="1"/>
    <xf numFmtId="3" fontId="18" fillId="0" borderId="0" xfId="0" applyNumberFormat="1" applyFont="1" applyFill="1" applyBorder="1" applyAlignment="1">
      <alignment vertical="center" wrapText="1"/>
    </xf>
    <xf numFmtId="3" fontId="18" fillId="0" borderId="0" xfId="0" applyNumberFormat="1" applyFont="1" applyFill="1" applyBorder="1" applyAlignment="1">
      <alignment wrapText="1"/>
    </xf>
    <xf numFmtId="0" fontId="11" fillId="0" borderId="0" xfId="0" applyFont="1" applyFill="1" applyBorder="1" applyAlignment="1">
      <alignment horizontal="center" vertical="center" wrapText="1"/>
    </xf>
    <xf numFmtId="0" fontId="126" fillId="4" borderId="0" xfId="0" applyFont="1" applyFill="1" applyAlignment="1">
      <alignment horizontal="center"/>
    </xf>
    <xf numFmtId="0" fontId="126" fillId="4" borderId="0" xfId="0" applyFont="1" applyFill="1" applyAlignment="1">
      <alignment horizontal="center" vertical="center"/>
    </xf>
    <xf numFmtId="164" fontId="126" fillId="4" borderId="0" xfId="0" applyNumberFormat="1" applyFont="1" applyFill="1" applyAlignment="1">
      <alignment horizontal="center" vertical="center"/>
    </xf>
    <xf numFmtId="0" fontId="127" fillId="4" borderId="0" xfId="0" applyFont="1" applyFill="1" applyAlignment="1">
      <alignment horizontal="center" vertical="center"/>
    </xf>
    <xf numFmtId="0" fontId="127" fillId="4" borderId="0" xfId="0" applyFont="1" applyFill="1" applyAlignment="1">
      <alignment horizontal="center"/>
    </xf>
    <xf numFmtId="0" fontId="128" fillId="4" borderId="0" xfId="0" applyFont="1" applyFill="1" applyAlignment="1">
      <alignment horizontal="center" vertical="center"/>
    </xf>
    <xf numFmtId="0" fontId="126" fillId="4" borderId="0" xfId="0" applyFont="1" applyFill="1" applyAlignment="1" applyProtection="1">
      <alignment horizontal="center" vertical="center"/>
      <protection locked="0"/>
    </xf>
    <xf numFmtId="0" fontId="127" fillId="4" borderId="0" xfId="0" applyFont="1" applyFill="1" applyAlignment="1" applyProtection="1">
      <alignment horizontal="center" vertical="center"/>
      <protection locked="0"/>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8" fillId="0" borderId="0" xfId="0" applyNumberFormat="1" applyFont="1" applyFill="1" applyBorder="1" applyAlignment="1" applyProtection="1">
      <alignment horizontal="right" vertical="center"/>
      <protection locked="0"/>
    </xf>
    <xf numFmtId="3" fontId="32" fillId="0" borderId="0" xfId="0" applyNumberFormat="1" applyFont="1" applyFill="1" applyAlignment="1">
      <alignment horizontal="right" vertical="center"/>
    </xf>
    <xf numFmtId="3" fontId="24" fillId="0" borderId="0" xfId="0" applyNumberFormat="1" applyFont="1" applyFill="1" applyAlignment="1">
      <alignment horizontal="right" vertical="center"/>
    </xf>
    <xf numFmtId="3" fontId="7" fillId="0" borderId="0" xfId="0" applyNumberFormat="1" applyFont="1" applyFill="1" applyBorder="1" applyAlignment="1" applyProtection="1">
      <alignment horizontal="right" vertical="center"/>
      <protection locked="0"/>
    </xf>
    <xf numFmtId="0" fontId="126" fillId="5" borderId="0" xfId="6" applyFont="1" applyFill="1" applyBorder="1" applyAlignment="1">
      <alignment horizontal="center" vertical="center"/>
    </xf>
    <xf numFmtId="0" fontId="127" fillId="5" borderId="0" xfId="6" applyFont="1" applyFill="1" applyBorder="1" applyAlignment="1">
      <alignment horizontal="center" vertical="center"/>
    </xf>
    <xf numFmtId="3" fontId="16" fillId="0" borderId="0" xfId="0" applyNumberFormat="1" applyFont="1" applyFill="1" applyAlignment="1">
      <alignment vertical="center"/>
    </xf>
    <xf numFmtId="3" fontId="16" fillId="0" borderId="0" xfId="2" applyNumberFormat="1" applyFont="1" applyFill="1" applyBorder="1" applyAlignment="1">
      <alignment vertical="center"/>
    </xf>
    <xf numFmtId="3" fontId="10" fillId="6" borderId="0" xfId="2"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26" fillId="4" borderId="0" xfId="6" applyFont="1" applyFill="1" applyAlignment="1">
      <alignment horizontal="center" vertical="center"/>
    </xf>
    <xf numFmtId="0" fontId="127" fillId="4" borderId="0" xfId="6" applyFont="1" applyFill="1" applyAlignment="1">
      <alignment horizontal="center" vertical="center"/>
    </xf>
    <xf numFmtId="0" fontId="7" fillId="0" borderId="0" xfId="0" applyFont="1" applyAlignment="1">
      <alignment horizontal="left" vertical="center" wrapText="1"/>
    </xf>
    <xf numFmtId="0" fontId="16" fillId="6" borderId="0" xfId="0" applyFont="1" applyFill="1" applyAlignment="1">
      <alignment vertical="center"/>
    </xf>
    <xf numFmtId="0" fontId="16" fillId="0" borderId="0" xfId="0" applyFont="1" applyFill="1" applyAlignment="1">
      <alignment horizontal="center" vertical="center"/>
    </xf>
    <xf numFmtId="0" fontId="129" fillId="4" borderId="0" xfId="0" applyFont="1" applyFill="1" applyAlignment="1">
      <alignment horizontal="center" vertical="center"/>
    </xf>
  </cellXfs>
  <cellStyles count="19">
    <cellStyle name="Lien hypertexte" xfId="1" builtinId="8"/>
    <cellStyle name="Milliers" xfId="2" builtinId="3"/>
    <cellStyle name="Milliers 2" xfId="3"/>
    <cellStyle name="Milliers 2 2" xfId="4"/>
    <cellStyle name="Normal" xfId="0" builtinId="0"/>
    <cellStyle name="Normal 2" xfId="5"/>
    <cellStyle name="Normal 3" xfId="6"/>
    <cellStyle name="Normal_Feuil1" xfId="7"/>
    <cellStyle name="Normal_Feuil4" xfId="8"/>
    <cellStyle name="Normal_Maquette à contrôler_panofranc2012_extrait PDL" xfId="9"/>
    <cellStyle name="Normal_Maquette à saisir_5" xfId="10"/>
    <cellStyle name="Normal_Maquette à saisir_panofranc2012_extrait PDL" xfId="11"/>
    <cellStyle name="Normal_TCEMP003_1" xfId="12"/>
    <cellStyle name="Normal_xxpop0212" xfId="13"/>
    <cellStyle name="Pourcentage" xfId="14" builtinId="5"/>
    <cellStyle name="Pourcentage 2" xfId="15"/>
    <cellStyle name="Pourcentage 2 2" xfId="16"/>
    <cellStyle name="Pourcentage 3" xfId="17"/>
    <cellStyle name="TableStyleLight1" xfId="18"/>
  </cellStyles>
  <dxfs count="0"/>
  <tableStyles count="0" defaultTableStyle="TableStyleMedium9" defaultPivotStyle="PivotStyleLight16"/>
  <colors>
    <mruColors>
      <color rgb="FF7A1D42"/>
      <color rgb="FFD29AA6"/>
      <color rgb="FFDCAEC2"/>
      <color rgb="FFBD6B7D"/>
      <color rgb="FFC8B4B4"/>
      <color rgb="FFD69EB6"/>
      <color rgb="FFD090AB"/>
      <color rgb="FFD3C0DE"/>
      <color rgb="FFAA285D"/>
      <color rgb="FFEFBBD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294933</xdr:colOff>
      <xdr:row>39</xdr:row>
      <xdr:rowOff>104773</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724933" cy="7534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xdr:colOff>
      <xdr:row>21</xdr:row>
      <xdr:rowOff>0</xdr:rowOff>
    </xdr:from>
    <xdr:to>
      <xdr:col>1</xdr:col>
      <xdr:colOff>200025</xdr:colOff>
      <xdr:row>21</xdr:row>
      <xdr:rowOff>0</xdr:rowOff>
    </xdr:to>
    <xdr:sp macro="" textlink="">
      <xdr:nvSpPr>
        <xdr:cNvPr id="121841"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twoCellAnchor>
    <xdr:from>
      <xdr:col>1</xdr:col>
      <xdr:colOff>38100</xdr:colOff>
      <xdr:row>21</xdr:row>
      <xdr:rowOff>0</xdr:rowOff>
    </xdr:from>
    <xdr:to>
      <xdr:col>1</xdr:col>
      <xdr:colOff>200025</xdr:colOff>
      <xdr:row>21</xdr:row>
      <xdr:rowOff>0</xdr:rowOff>
    </xdr:to>
    <xdr:sp macro="" textlink="">
      <xdr:nvSpPr>
        <xdr:cNvPr id="121842"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twoCellAnchor>
    <xdr:from>
      <xdr:col>1</xdr:col>
      <xdr:colOff>38100</xdr:colOff>
      <xdr:row>21</xdr:row>
      <xdr:rowOff>0</xdr:rowOff>
    </xdr:from>
    <xdr:to>
      <xdr:col>1</xdr:col>
      <xdr:colOff>200025</xdr:colOff>
      <xdr:row>21</xdr:row>
      <xdr:rowOff>0</xdr:rowOff>
    </xdr:to>
    <xdr:sp macro="" textlink="">
      <xdr:nvSpPr>
        <xdr:cNvPr id="121843"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358140</xdr:colOff>
      <xdr:row>0</xdr:row>
      <xdr:rowOff>0</xdr:rowOff>
    </xdr:from>
    <xdr:to>
      <xdr:col>0</xdr:col>
      <xdr:colOff>626287</xdr:colOff>
      <xdr:row>0</xdr:row>
      <xdr:rowOff>0</xdr:rowOff>
    </xdr:to>
    <xdr:sp macro="" textlink="">
      <xdr:nvSpPr>
        <xdr:cNvPr id="15362" name="Text Box 2"/>
        <xdr:cNvSpPr txBox="1">
          <a:spLocks noChangeArrowheads="1"/>
        </xdr:cNvSpPr>
      </xdr:nvSpPr>
      <xdr:spPr bwMode="auto">
        <a:xfrm>
          <a:off x="373380" y="0"/>
          <a:ext cx="281940" cy="0"/>
        </a:xfrm>
        <a:prstGeom prst="rect">
          <a:avLst/>
        </a:prstGeom>
        <a:solidFill>
          <a:srgbClr val="FFFFFF"/>
        </a:solidFill>
        <a:ln w="28575">
          <a:solidFill>
            <a:srgbClr val="FF0000"/>
          </a:solidFill>
          <a:miter lim="800000"/>
          <a:headEnd/>
          <a:tailEnd/>
        </a:ln>
      </xdr:spPr>
      <xdr:txBody>
        <a:bodyPr vertOverflow="clip" wrap="square" lIns="36576" tIns="45720" rIns="36576" bIns="0" anchor="t" upright="1"/>
        <a:lstStyle/>
        <a:p>
          <a:pPr algn="ctr" rtl="0">
            <a:defRPr sz="1000"/>
          </a:pPr>
          <a:r>
            <a:rPr lang="fr-FR" sz="1100" b="0" i="0" strike="noStrike">
              <a:solidFill>
                <a:srgbClr val="FF0000"/>
              </a:solidFill>
              <a:latin typeface="Arial Black"/>
            </a:rPr>
            <a:t>1</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4</xdr:row>
      <xdr:rowOff>123825</xdr:rowOff>
    </xdr:from>
    <xdr:to>
      <xdr:col>0</xdr:col>
      <xdr:colOff>819150</xdr:colOff>
      <xdr:row>8</xdr:row>
      <xdr:rowOff>76200</xdr:rowOff>
    </xdr:to>
    <xdr:pic>
      <xdr:nvPicPr>
        <xdr:cNvPr id="123358" name="Image 5" descr="finess.png"/>
        <xdr:cNvPicPr>
          <a:picLocks noChangeAspect="1"/>
        </xdr:cNvPicPr>
      </xdr:nvPicPr>
      <xdr:blipFill>
        <a:blip xmlns:r="http://schemas.openxmlformats.org/officeDocument/2006/relationships" r:embed="rId1" cstate="print"/>
        <a:srcRect/>
        <a:stretch>
          <a:fillRect/>
        </a:stretch>
      </xdr:blipFill>
      <xdr:spPr bwMode="auto">
        <a:xfrm>
          <a:off x="104775" y="885825"/>
          <a:ext cx="714375" cy="714375"/>
        </a:xfrm>
        <a:prstGeom prst="rect">
          <a:avLst/>
        </a:prstGeom>
        <a:noFill/>
        <a:ln w="9525">
          <a:noFill/>
          <a:miter lim="800000"/>
          <a:headEnd/>
          <a:tailEnd/>
        </a:ln>
      </xdr:spPr>
    </xdr:pic>
    <xdr:clientData/>
  </xdr:twoCellAnchor>
  <xdr:twoCellAnchor editAs="oneCell">
    <xdr:from>
      <xdr:col>0</xdr:col>
      <xdr:colOff>133350</xdr:colOff>
      <xdr:row>10</xdr:row>
      <xdr:rowOff>9525</xdr:rowOff>
    </xdr:from>
    <xdr:to>
      <xdr:col>0</xdr:col>
      <xdr:colOff>819150</xdr:colOff>
      <xdr:row>13</xdr:row>
      <xdr:rowOff>123825</xdr:rowOff>
    </xdr:to>
    <xdr:pic>
      <xdr:nvPicPr>
        <xdr:cNvPr id="123359" name="Image 6" descr="res.png"/>
        <xdr:cNvPicPr>
          <a:picLocks noChangeAspect="1"/>
        </xdr:cNvPicPr>
      </xdr:nvPicPr>
      <xdr:blipFill>
        <a:blip xmlns:r="http://schemas.openxmlformats.org/officeDocument/2006/relationships" r:embed="rId2" cstate="print"/>
        <a:srcRect/>
        <a:stretch>
          <a:fillRect/>
        </a:stretch>
      </xdr:blipFill>
      <xdr:spPr bwMode="auto">
        <a:xfrm>
          <a:off x="133350" y="1914525"/>
          <a:ext cx="685800" cy="6858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15</xdr:col>
      <xdr:colOff>361950</xdr:colOff>
      <xdr:row>39</xdr:row>
      <xdr:rowOff>100213</xdr:rowOff>
    </xdr:to>
    <xdr:pic>
      <xdr:nvPicPr>
        <xdr:cNvPr id="4"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1791949" cy="7577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21</xdr:row>
      <xdr:rowOff>0</xdr:rowOff>
    </xdr:from>
    <xdr:to>
      <xdr:col>1</xdr:col>
      <xdr:colOff>200025</xdr:colOff>
      <xdr:row>21</xdr:row>
      <xdr:rowOff>0</xdr:rowOff>
    </xdr:to>
    <xdr:sp macro="" textlink="">
      <xdr:nvSpPr>
        <xdr:cNvPr id="114673" name="Text Box 2"/>
        <xdr:cNvSpPr txBox="1">
          <a:spLocks noChangeArrowheads="1"/>
        </xdr:cNvSpPr>
      </xdr:nvSpPr>
      <xdr:spPr bwMode="auto">
        <a:xfrm>
          <a:off x="1666875" y="3228975"/>
          <a:ext cx="161925" cy="0"/>
        </a:xfrm>
        <a:prstGeom prst="rect">
          <a:avLst/>
        </a:prstGeom>
        <a:noFill/>
        <a:ln w="9525">
          <a:noFill/>
          <a:miter lim="800000"/>
          <a:headEnd/>
          <a:tailEnd/>
        </a:ln>
      </xdr:spPr>
    </xdr:sp>
    <xdr:clientData/>
  </xdr:twoCellAnchor>
  <xdr:twoCellAnchor>
    <xdr:from>
      <xdr:col>1</xdr:col>
      <xdr:colOff>38100</xdr:colOff>
      <xdr:row>21</xdr:row>
      <xdr:rowOff>0</xdr:rowOff>
    </xdr:from>
    <xdr:to>
      <xdr:col>1</xdr:col>
      <xdr:colOff>200025</xdr:colOff>
      <xdr:row>21</xdr:row>
      <xdr:rowOff>0</xdr:rowOff>
    </xdr:to>
    <xdr:sp macro="" textlink="">
      <xdr:nvSpPr>
        <xdr:cNvPr id="114674" name="Text Box 2"/>
        <xdr:cNvSpPr txBox="1">
          <a:spLocks noChangeArrowheads="1"/>
        </xdr:cNvSpPr>
      </xdr:nvSpPr>
      <xdr:spPr bwMode="auto">
        <a:xfrm>
          <a:off x="1666875" y="3228975"/>
          <a:ext cx="161925" cy="0"/>
        </a:xfrm>
        <a:prstGeom prst="rect">
          <a:avLst/>
        </a:prstGeom>
        <a:noFill/>
        <a:ln w="9525">
          <a:noFill/>
          <a:miter lim="800000"/>
          <a:headEnd/>
          <a:tailEnd/>
        </a:ln>
      </xdr:spPr>
    </xdr:sp>
    <xdr:clientData/>
  </xdr:twoCellAnchor>
  <xdr:twoCellAnchor>
    <xdr:from>
      <xdr:col>1</xdr:col>
      <xdr:colOff>38100</xdr:colOff>
      <xdr:row>21</xdr:row>
      <xdr:rowOff>0</xdr:rowOff>
    </xdr:from>
    <xdr:to>
      <xdr:col>1</xdr:col>
      <xdr:colOff>200025</xdr:colOff>
      <xdr:row>21</xdr:row>
      <xdr:rowOff>0</xdr:rowOff>
    </xdr:to>
    <xdr:sp macro="" textlink="">
      <xdr:nvSpPr>
        <xdr:cNvPr id="114675" name="Text Box 2"/>
        <xdr:cNvSpPr txBox="1">
          <a:spLocks noChangeArrowheads="1"/>
        </xdr:cNvSpPr>
      </xdr:nvSpPr>
      <xdr:spPr bwMode="auto">
        <a:xfrm>
          <a:off x="1666875" y="3228975"/>
          <a:ext cx="161925" cy="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26</xdr:row>
      <xdr:rowOff>0</xdr:rowOff>
    </xdr:from>
    <xdr:to>
      <xdr:col>1</xdr:col>
      <xdr:colOff>200025</xdr:colOff>
      <xdr:row>26</xdr:row>
      <xdr:rowOff>0</xdr:rowOff>
    </xdr:to>
    <xdr:sp macro="" textlink="">
      <xdr:nvSpPr>
        <xdr:cNvPr id="2"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3"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4"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26</xdr:row>
      <xdr:rowOff>0</xdr:rowOff>
    </xdr:from>
    <xdr:to>
      <xdr:col>1</xdr:col>
      <xdr:colOff>200025</xdr:colOff>
      <xdr:row>26</xdr:row>
      <xdr:rowOff>0</xdr:rowOff>
    </xdr:to>
    <xdr:sp macro="" textlink="">
      <xdr:nvSpPr>
        <xdr:cNvPr id="115697"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15698"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15699"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20</xdr:row>
      <xdr:rowOff>0</xdr:rowOff>
    </xdr:from>
    <xdr:to>
      <xdr:col>1</xdr:col>
      <xdr:colOff>200025</xdr:colOff>
      <xdr:row>20</xdr:row>
      <xdr:rowOff>0</xdr:rowOff>
    </xdr:to>
    <xdr:sp macro="" textlink="">
      <xdr:nvSpPr>
        <xdr:cNvPr id="116721"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twoCellAnchor>
    <xdr:from>
      <xdr:col>1</xdr:col>
      <xdr:colOff>38100</xdr:colOff>
      <xdr:row>20</xdr:row>
      <xdr:rowOff>0</xdr:rowOff>
    </xdr:from>
    <xdr:to>
      <xdr:col>1</xdr:col>
      <xdr:colOff>200025</xdr:colOff>
      <xdr:row>20</xdr:row>
      <xdr:rowOff>0</xdr:rowOff>
    </xdr:to>
    <xdr:sp macro="" textlink="">
      <xdr:nvSpPr>
        <xdr:cNvPr id="116722"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twoCellAnchor>
    <xdr:from>
      <xdr:col>1</xdr:col>
      <xdr:colOff>38100</xdr:colOff>
      <xdr:row>20</xdr:row>
      <xdr:rowOff>0</xdr:rowOff>
    </xdr:from>
    <xdr:to>
      <xdr:col>1</xdr:col>
      <xdr:colOff>200025</xdr:colOff>
      <xdr:row>20</xdr:row>
      <xdr:rowOff>0</xdr:rowOff>
    </xdr:to>
    <xdr:sp macro="" textlink="">
      <xdr:nvSpPr>
        <xdr:cNvPr id="116723"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0</xdr:row>
      <xdr:rowOff>0</xdr:rowOff>
    </xdr:from>
    <xdr:to>
      <xdr:col>1</xdr:col>
      <xdr:colOff>200025</xdr:colOff>
      <xdr:row>0</xdr:row>
      <xdr:rowOff>0</xdr:rowOff>
    </xdr:to>
    <xdr:sp macro="" textlink="">
      <xdr:nvSpPr>
        <xdr:cNvPr id="117745"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7746"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7747"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0</xdr:row>
      <xdr:rowOff>0</xdr:rowOff>
    </xdr:from>
    <xdr:to>
      <xdr:col>1</xdr:col>
      <xdr:colOff>200025</xdr:colOff>
      <xdr:row>0</xdr:row>
      <xdr:rowOff>0</xdr:rowOff>
    </xdr:to>
    <xdr:sp macro="" textlink="">
      <xdr:nvSpPr>
        <xdr:cNvPr id="118769"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8770"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8771"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26</xdr:row>
      <xdr:rowOff>0</xdr:rowOff>
    </xdr:from>
    <xdr:to>
      <xdr:col>1</xdr:col>
      <xdr:colOff>200025</xdr:colOff>
      <xdr:row>26</xdr:row>
      <xdr:rowOff>0</xdr:rowOff>
    </xdr:to>
    <xdr:sp macro="" textlink="">
      <xdr:nvSpPr>
        <xdr:cNvPr id="119793"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19794"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19795"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24</xdr:row>
      <xdr:rowOff>0</xdr:rowOff>
    </xdr:from>
    <xdr:to>
      <xdr:col>1</xdr:col>
      <xdr:colOff>200025</xdr:colOff>
      <xdr:row>24</xdr:row>
      <xdr:rowOff>0</xdr:rowOff>
    </xdr:to>
    <xdr:sp macro="" textlink="">
      <xdr:nvSpPr>
        <xdr:cNvPr id="120817"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twoCellAnchor>
    <xdr:from>
      <xdr:col>1</xdr:col>
      <xdr:colOff>38100</xdr:colOff>
      <xdr:row>24</xdr:row>
      <xdr:rowOff>0</xdr:rowOff>
    </xdr:from>
    <xdr:to>
      <xdr:col>1</xdr:col>
      <xdr:colOff>200025</xdr:colOff>
      <xdr:row>24</xdr:row>
      <xdr:rowOff>0</xdr:rowOff>
    </xdr:to>
    <xdr:sp macro="" textlink="">
      <xdr:nvSpPr>
        <xdr:cNvPr id="120818"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twoCellAnchor>
    <xdr:from>
      <xdr:col>1</xdr:col>
      <xdr:colOff>38100</xdr:colOff>
      <xdr:row>24</xdr:row>
      <xdr:rowOff>0</xdr:rowOff>
    </xdr:from>
    <xdr:to>
      <xdr:col>1</xdr:col>
      <xdr:colOff>200025</xdr:colOff>
      <xdr:row>24</xdr:row>
      <xdr:rowOff>0</xdr:rowOff>
    </xdr:to>
    <xdr:sp macro="" textlink="">
      <xdr:nvSpPr>
        <xdr:cNvPr id="120819"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hyperlink" Target="http://drees.solidarites-sante.gouv.fr/etudes-et-statistiques/" TargetMode="External"/><Relationship Id="rId2" Type="http://schemas.openxmlformats.org/officeDocument/2006/relationships/hyperlink" Target="http://www.res.sports.gouv.fr/" TargetMode="External"/><Relationship Id="rId1" Type="http://schemas.openxmlformats.org/officeDocument/2006/relationships/hyperlink" Target="http://finess.sante.gouv.fr/" TargetMode="External"/><Relationship Id="rId5" Type="http://schemas.openxmlformats.org/officeDocument/2006/relationships/drawing" Target="../drawings/drawing12.xml"/><Relationship Id="rId4"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L19"/>
  <sheetViews>
    <sheetView tabSelected="1" workbookViewId="0">
      <selection activeCell="Q3" sqref="Q3"/>
    </sheetView>
  </sheetViews>
  <sheetFormatPr baseColWidth="10" defaultRowHeight="15" x14ac:dyDescent="0.25"/>
  <sheetData>
    <row r="19" spans="12:12" x14ac:dyDescent="0.25">
      <c r="L19" s="384"/>
    </row>
  </sheetData>
  <phoneticPr fontId="15"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K42"/>
  <sheetViews>
    <sheetView zoomScale="140" zoomScaleNormal="140" workbookViewId="0">
      <selection sqref="A1:H1"/>
    </sheetView>
  </sheetViews>
  <sheetFormatPr baseColWidth="10" defaultRowHeight="9.9499999999999993" customHeight="1" x14ac:dyDescent="0.25"/>
  <cols>
    <col min="1" max="1" width="36.5703125" style="16" customWidth="1"/>
    <col min="2" max="2" width="6.7109375" style="16" customWidth="1"/>
    <col min="3" max="3" width="6.28515625" style="16" bestFit="1" customWidth="1"/>
    <col min="4" max="4" width="6.42578125" style="16" bestFit="1" customWidth="1"/>
    <col min="5" max="5" width="6.28515625" style="16" bestFit="1" customWidth="1"/>
    <col min="6" max="6" width="6.7109375" style="16" customWidth="1"/>
    <col min="7" max="7" width="8.7109375" style="16" bestFit="1" customWidth="1"/>
    <col min="8" max="8" width="9.5703125" style="16" bestFit="1" customWidth="1"/>
    <col min="9" max="9" width="11.42578125" style="325" customWidth="1"/>
    <col min="10" max="10" width="16.28515625" style="238" customWidth="1"/>
    <col min="11" max="11" width="11.42578125" style="238" customWidth="1"/>
    <col min="12" max="16384" width="11.42578125" style="16"/>
  </cols>
  <sheetData>
    <row r="1" spans="1:11" ht="15" customHeight="1" x14ac:dyDescent="0.25">
      <c r="A1" s="1019" t="s">
        <v>961</v>
      </c>
      <c r="B1" s="1019"/>
      <c r="C1" s="1019"/>
      <c r="D1" s="1019"/>
      <c r="E1" s="1019"/>
      <c r="F1" s="1019"/>
      <c r="G1" s="1019"/>
      <c r="H1" s="1019"/>
      <c r="I1" s="793"/>
      <c r="J1" s="240"/>
    </row>
    <row r="2" spans="1:11" ht="9.75" customHeight="1" x14ac:dyDescent="0.25">
      <c r="A2" s="1021" t="s">
        <v>521</v>
      </c>
      <c r="B2" s="1021"/>
      <c r="C2" s="1021"/>
      <c r="D2" s="1021"/>
      <c r="E2" s="1021"/>
      <c r="F2" s="1021"/>
      <c r="G2" s="1021"/>
      <c r="H2" s="1021"/>
      <c r="I2" s="793"/>
      <c r="J2" s="240"/>
    </row>
    <row r="3" spans="1:11" ht="7.9" customHeight="1" x14ac:dyDescent="0.25">
      <c r="A3" s="56"/>
      <c r="B3" s="63"/>
      <c r="C3" s="62"/>
      <c r="D3" s="62"/>
      <c r="E3" s="62"/>
      <c r="F3" s="62"/>
      <c r="G3" s="62"/>
      <c r="H3" s="56"/>
    </row>
    <row r="4" spans="1:11" ht="20.100000000000001" customHeight="1" x14ac:dyDescent="0.25">
      <c r="A4" s="58"/>
      <c r="B4" s="22" t="s">
        <v>374</v>
      </c>
      <c r="C4" s="22" t="s">
        <v>375</v>
      </c>
      <c r="D4" s="22" t="s">
        <v>376</v>
      </c>
      <c r="E4" s="22" t="s">
        <v>377</v>
      </c>
      <c r="F4" s="22" t="s">
        <v>378</v>
      </c>
      <c r="G4" s="23" t="s">
        <v>385</v>
      </c>
      <c r="H4" s="59" t="s">
        <v>380</v>
      </c>
    </row>
    <row r="5" spans="1:11" ht="7.9" customHeight="1" x14ac:dyDescent="0.25">
      <c r="A5" s="60"/>
      <c r="B5" s="22"/>
      <c r="C5" s="22"/>
      <c r="D5" s="22"/>
      <c r="E5" s="22"/>
      <c r="F5" s="22"/>
      <c r="G5" s="23"/>
      <c r="H5" s="23"/>
    </row>
    <row r="6" spans="1:11" ht="7.9" customHeight="1" x14ac:dyDescent="0.25">
      <c r="A6" s="918" t="s">
        <v>1012</v>
      </c>
      <c r="B6" s="927"/>
      <c r="C6" s="927"/>
      <c r="D6" s="927"/>
      <c r="E6" s="927"/>
      <c r="F6" s="927"/>
      <c r="G6" s="928"/>
      <c r="H6" s="927"/>
      <c r="I6" s="16"/>
    </row>
    <row r="7" spans="1:11" ht="7.9" customHeight="1" x14ac:dyDescent="0.25">
      <c r="A7" s="32" t="s">
        <v>966</v>
      </c>
      <c r="B7" s="400">
        <v>19</v>
      </c>
      <c r="C7" s="400">
        <v>13</v>
      </c>
      <c r="D7" s="400">
        <v>3</v>
      </c>
      <c r="E7" s="400">
        <v>7</v>
      </c>
      <c r="F7" s="400">
        <v>4</v>
      </c>
      <c r="G7" s="401">
        <f>SUM(B7:F7)</f>
        <v>46</v>
      </c>
      <c r="H7" s="400">
        <v>1295</v>
      </c>
      <c r="K7" s="332"/>
    </row>
    <row r="8" spans="1:11" ht="7.9" customHeight="1" x14ac:dyDescent="0.25">
      <c r="A8" s="32" t="s">
        <v>965</v>
      </c>
      <c r="B8" s="390">
        <v>64063</v>
      </c>
      <c r="C8" s="390">
        <v>43489</v>
      </c>
      <c r="D8" s="390">
        <v>6684</v>
      </c>
      <c r="E8" s="390">
        <v>28790</v>
      </c>
      <c r="F8" s="390">
        <v>6809</v>
      </c>
      <c r="G8" s="397">
        <f>SUM(B8:F8)</f>
        <v>149835</v>
      </c>
      <c r="H8" s="402">
        <v>4856046</v>
      </c>
      <c r="I8" s="332"/>
      <c r="J8" s="338"/>
    </row>
    <row r="9" spans="1:11" ht="7.9" customHeight="1" x14ac:dyDescent="0.25">
      <c r="A9" s="32" t="s">
        <v>1010</v>
      </c>
      <c r="B9" s="390">
        <v>6</v>
      </c>
      <c r="C9" s="390">
        <v>4</v>
      </c>
      <c r="D9" s="390">
        <v>1</v>
      </c>
      <c r="E9" s="390">
        <v>4</v>
      </c>
      <c r="F9" s="390">
        <v>2</v>
      </c>
      <c r="G9" s="397">
        <f>SUM(B9:F9)</f>
        <v>17</v>
      </c>
      <c r="H9" s="402">
        <v>774</v>
      </c>
      <c r="J9" s="676"/>
    </row>
    <row r="10" spans="1:11" ht="7.9" customHeight="1" x14ac:dyDescent="0.25">
      <c r="A10" s="32" t="s">
        <v>964</v>
      </c>
      <c r="B10" s="390">
        <v>1328620</v>
      </c>
      <c r="C10" s="390">
        <v>800191</v>
      </c>
      <c r="D10" s="390">
        <v>307500.00000000006</v>
      </c>
      <c r="E10" s="390">
        <v>569035</v>
      </c>
      <c r="F10" s="390">
        <v>655506</v>
      </c>
      <c r="G10" s="397">
        <v>3660852</v>
      </c>
      <c r="H10" s="402">
        <v>63697865.002521187</v>
      </c>
      <c r="J10" s="676"/>
    </row>
    <row r="11" spans="1:11" ht="7.9" customHeight="1" x14ac:dyDescent="0.25">
      <c r="A11" s="32" t="s">
        <v>1011</v>
      </c>
      <c r="B11" s="794">
        <v>4.8217699567972797E-2</v>
      </c>
      <c r="C11" s="794">
        <v>5.4348274349499098E-2</v>
      </c>
      <c r="D11" s="794">
        <v>2.1736585365853701E-2</v>
      </c>
      <c r="E11" s="794">
        <v>5.0594427407804399E-2</v>
      </c>
      <c r="F11" s="794">
        <v>1.03873953861597E-2</v>
      </c>
      <c r="G11" s="795">
        <v>4.0928996856469502E-2</v>
      </c>
      <c r="H11" s="796">
        <v>7.6235616371251896E-2</v>
      </c>
      <c r="J11" s="676"/>
    </row>
    <row r="12" spans="1:11" ht="7.5" customHeight="1" x14ac:dyDescent="0.25">
      <c r="A12" s="32"/>
      <c r="B12" s="850"/>
      <c r="C12" s="330"/>
      <c r="D12" s="330"/>
      <c r="E12" s="330"/>
      <c r="F12" s="330"/>
      <c r="G12" s="331"/>
      <c r="H12" s="330"/>
      <c r="J12" s="676"/>
    </row>
    <row r="13" spans="1:11" ht="7.5" customHeight="1" x14ac:dyDescent="0.25">
      <c r="A13" s="918" t="s">
        <v>1013</v>
      </c>
      <c r="B13" s="927"/>
      <c r="C13" s="927"/>
      <c r="D13" s="927"/>
      <c r="E13" s="927"/>
      <c r="F13" s="927"/>
      <c r="G13" s="928"/>
      <c r="H13" s="927"/>
    </row>
    <row r="14" spans="1:11" ht="7.5" customHeight="1" x14ac:dyDescent="0.25">
      <c r="A14" s="32" t="s">
        <v>1014</v>
      </c>
      <c r="B14" s="330">
        <v>33</v>
      </c>
      <c r="C14" s="330">
        <v>54</v>
      </c>
      <c r="D14" s="330">
        <v>163</v>
      </c>
      <c r="E14" s="330">
        <v>211</v>
      </c>
      <c r="F14" s="330">
        <v>78</v>
      </c>
      <c r="G14" s="26">
        <f>SUM(B14:F14)</f>
        <v>539</v>
      </c>
      <c r="H14" s="330">
        <v>14856</v>
      </c>
    </row>
    <row r="15" spans="1:11" ht="7.5" customHeight="1" x14ac:dyDescent="0.25">
      <c r="A15" s="32" t="s">
        <v>964</v>
      </c>
      <c r="B15" s="330">
        <v>59171</v>
      </c>
      <c r="C15" s="330">
        <v>92811</v>
      </c>
      <c r="D15" s="330">
        <v>125353.00000000003</v>
      </c>
      <c r="E15" s="330">
        <v>155308.00000000009</v>
      </c>
      <c r="F15" s="330">
        <v>85606.999999999985</v>
      </c>
      <c r="G15" s="331">
        <f>SUM(B15:F15)</f>
        <v>518250.00000000012</v>
      </c>
      <c r="H15" s="330">
        <v>7831984</v>
      </c>
    </row>
    <row r="16" spans="1:11" ht="7.5" customHeight="1" x14ac:dyDescent="0.25">
      <c r="A16" s="32" t="s">
        <v>1015</v>
      </c>
      <c r="B16" s="157">
        <v>0.15566037735849056</v>
      </c>
      <c r="C16" s="157">
        <v>0.29032258064516131</v>
      </c>
      <c r="D16" s="157">
        <v>0.63921568627450975</v>
      </c>
      <c r="E16" s="157">
        <v>0.58448753462603875</v>
      </c>
      <c r="F16" s="157">
        <v>0.29213483146067415</v>
      </c>
      <c r="G16" s="627">
        <v>0.42076502732240439</v>
      </c>
      <c r="H16" s="157">
        <v>0.42100490265536883</v>
      </c>
    </row>
    <row r="17" spans="1:11" ht="7.5" customHeight="1" x14ac:dyDescent="0.25">
      <c r="A17" s="32" t="s">
        <v>967</v>
      </c>
      <c r="B17" s="157">
        <v>4.4974658952367345E-2</v>
      </c>
      <c r="C17" s="157">
        <v>0.14877372403180303</v>
      </c>
      <c r="D17" s="157">
        <v>0.41117408960002111</v>
      </c>
      <c r="E17" s="157">
        <v>0.27534877783707229</v>
      </c>
      <c r="F17" s="157">
        <v>0.134391949701332</v>
      </c>
      <c r="G17" s="193">
        <v>0.15041821051525606</v>
      </c>
      <c r="H17" s="157">
        <v>0.12435821494606308</v>
      </c>
    </row>
    <row r="18" spans="1:11" ht="7.5" customHeight="1" thickBot="1" x14ac:dyDescent="0.3">
      <c r="A18" s="1008"/>
      <c r="B18" s="1009"/>
      <c r="C18" s="1009"/>
      <c r="D18" s="1009"/>
      <c r="E18" s="1009"/>
      <c r="F18" s="1009"/>
      <c r="G18" s="1010"/>
      <c r="H18" s="1009"/>
    </row>
    <row r="19" spans="1:11" s="116" customFormat="1" ht="7.9" customHeight="1" thickTop="1" x14ac:dyDescent="0.25">
      <c r="A19" s="18" t="s">
        <v>963</v>
      </c>
      <c r="B19" s="117"/>
      <c r="C19" s="117"/>
      <c r="D19" s="117"/>
      <c r="E19" s="117"/>
      <c r="F19" s="117"/>
      <c r="G19" s="117"/>
      <c r="H19" s="118"/>
      <c r="I19" s="326"/>
      <c r="J19" s="239"/>
      <c r="K19" s="239"/>
    </row>
    <row r="20" spans="1:11" s="116" customFormat="1" ht="7.9" customHeight="1" x14ac:dyDescent="0.25">
      <c r="A20" s="125" t="s">
        <v>962</v>
      </c>
      <c r="B20" s="117"/>
      <c r="C20" s="117"/>
      <c r="D20" s="117"/>
      <c r="E20" s="117"/>
      <c r="F20" s="117"/>
      <c r="G20" s="117"/>
      <c r="H20" s="118"/>
      <c r="I20" s="326"/>
      <c r="J20" s="239"/>
      <c r="K20" s="239"/>
    </row>
    <row r="21" spans="1:11" ht="7.9" customHeight="1" x14ac:dyDescent="0.25">
      <c r="A21" s="277"/>
    </row>
    <row r="22" spans="1:11" ht="7.9" customHeight="1" x14ac:dyDescent="0.25"/>
    <row r="23" spans="1:11" ht="7.9" customHeight="1" x14ac:dyDescent="0.25"/>
    <row r="24" spans="1:11" ht="7.9" customHeight="1" x14ac:dyDescent="0.25"/>
    <row r="25" spans="1:11" ht="7.9" customHeight="1" x14ac:dyDescent="0.25"/>
    <row r="26" spans="1:11" ht="7.9" customHeight="1" x14ac:dyDescent="0.25"/>
    <row r="27" spans="1:11" ht="7.9" customHeight="1" x14ac:dyDescent="0.25"/>
    <row r="30" spans="1:11" ht="9.9499999999999993" customHeight="1" x14ac:dyDescent="0.25">
      <c r="A30" s="880"/>
      <c r="B30" s="881"/>
      <c r="C30" s="881"/>
      <c r="D30" s="881"/>
      <c r="E30" s="881"/>
      <c r="F30" s="881"/>
      <c r="G30" s="882"/>
      <c r="H30" s="881"/>
    </row>
    <row r="31" spans="1:11" ht="9.9499999999999993" customHeight="1" x14ac:dyDescent="0.25">
      <c r="A31" s="880"/>
      <c r="B31" s="881"/>
      <c r="C31" s="881"/>
      <c r="D31" s="881"/>
      <c r="E31" s="881"/>
      <c r="F31" s="881"/>
      <c r="G31" s="882"/>
      <c r="H31" s="881"/>
    </row>
    <row r="38" spans="1:11" s="114" customFormat="1" ht="7.9" customHeight="1" x14ac:dyDescent="0.25">
      <c r="A38" s="68"/>
      <c r="B38" s="400"/>
      <c r="C38" s="400"/>
      <c r="D38" s="400"/>
      <c r="E38" s="400"/>
      <c r="F38" s="400"/>
      <c r="G38" s="401"/>
      <c r="H38" s="400"/>
      <c r="J38" s="240"/>
      <c r="K38" s="240"/>
    </row>
    <row r="39" spans="1:11" s="114" customFormat="1" ht="7.9" customHeight="1" x14ac:dyDescent="0.25">
      <c r="A39" s="61"/>
      <c r="B39" s="400"/>
      <c r="C39" s="400"/>
      <c r="D39" s="400"/>
      <c r="E39" s="400"/>
      <c r="F39" s="400"/>
      <c r="G39" s="26"/>
      <c r="H39" s="400"/>
      <c r="I39" s="599"/>
      <c r="J39" s="240"/>
      <c r="K39" s="240"/>
    </row>
    <row r="40" spans="1:11" s="114" customFormat="1" ht="7.9" customHeight="1" x14ac:dyDescent="0.25">
      <c r="A40" s="61"/>
      <c r="B40" s="376"/>
      <c r="C40" s="376"/>
      <c r="D40" s="376"/>
      <c r="E40" s="376"/>
      <c r="F40" s="376"/>
      <c r="G40" s="627"/>
      <c r="H40" s="376"/>
      <c r="I40" s="332"/>
      <c r="J40" s="240"/>
      <c r="K40" s="240"/>
    </row>
    <row r="41" spans="1:11" s="114" customFormat="1" ht="7.9" customHeight="1" x14ac:dyDescent="0.25">
      <c r="A41" s="61"/>
      <c r="B41" s="376"/>
      <c r="C41" s="376"/>
      <c r="D41" s="376"/>
      <c r="E41" s="376"/>
      <c r="F41" s="376"/>
      <c r="G41" s="627"/>
      <c r="H41" s="376"/>
      <c r="I41" s="599"/>
      <c r="J41" s="240"/>
      <c r="K41" s="240"/>
    </row>
    <row r="42" spans="1:11" s="114" customFormat="1" ht="9.9499999999999993" customHeight="1" x14ac:dyDescent="0.25">
      <c r="I42" s="332"/>
      <c r="J42" s="240"/>
      <c r="K42" s="240"/>
    </row>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L35"/>
  <sheetViews>
    <sheetView zoomScale="140" zoomScaleNormal="140" workbookViewId="0">
      <selection sqref="A1:H1"/>
    </sheetView>
  </sheetViews>
  <sheetFormatPr baseColWidth="10" defaultRowHeight="9.9499999999999993" customHeight="1" x14ac:dyDescent="0.15"/>
  <cols>
    <col min="1" max="1" width="26.28515625" style="53" customWidth="1"/>
    <col min="2" max="6" width="6.7109375" style="53" customWidth="1"/>
    <col min="7" max="7" width="6.85546875" style="53" customWidth="1"/>
    <col min="8" max="8" width="9.5703125" style="54" bestFit="1" customWidth="1"/>
    <col min="9" max="9" width="6.7109375" style="259" customWidth="1"/>
    <col min="10" max="10" width="34" style="241" customWidth="1"/>
    <col min="11" max="11" width="24.140625" style="241" customWidth="1"/>
    <col min="12" max="12" width="11.42578125" style="241" customWidth="1"/>
    <col min="13" max="16384" width="11.42578125" style="53"/>
  </cols>
  <sheetData>
    <row r="1" spans="1:11" ht="15" customHeight="1" x14ac:dyDescent="0.15">
      <c r="A1" s="1019" t="s">
        <v>787</v>
      </c>
      <c r="B1" s="1019"/>
      <c r="C1" s="1019"/>
      <c r="D1" s="1019"/>
      <c r="E1" s="1019"/>
      <c r="F1" s="1019"/>
      <c r="G1" s="1019"/>
      <c r="H1" s="1019"/>
      <c r="I1" s="260"/>
      <c r="J1" s="244"/>
    </row>
    <row r="2" spans="1:11" ht="9.9499999999999993" customHeight="1" x14ac:dyDescent="0.15">
      <c r="A2" s="1021" t="s">
        <v>521</v>
      </c>
      <c r="B2" s="1021"/>
      <c r="C2" s="1021"/>
      <c r="D2" s="1021"/>
      <c r="E2" s="1021"/>
      <c r="F2" s="1021"/>
      <c r="G2" s="1021"/>
      <c r="H2" s="1021"/>
      <c r="I2" s="260"/>
      <c r="J2" s="244"/>
    </row>
    <row r="3" spans="1:11" ht="7.9" customHeight="1" x14ac:dyDescent="0.15">
      <c r="A3" s="60"/>
      <c r="B3" s="22"/>
      <c r="C3" s="22"/>
      <c r="D3" s="22"/>
      <c r="E3" s="22"/>
      <c r="F3" s="22"/>
      <c r="G3" s="23"/>
      <c r="H3" s="23"/>
      <c r="I3" s="261"/>
      <c r="J3" s="247"/>
      <c r="K3" s="247"/>
    </row>
    <row r="4" spans="1:11" ht="20.100000000000001" customHeight="1" x14ac:dyDescent="0.15">
      <c r="A4" s="58"/>
      <c r="B4" s="22" t="s">
        <v>374</v>
      </c>
      <c r="C4" s="22" t="s">
        <v>384</v>
      </c>
      <c r="D4" s="22" t="s">
        <v>376</v>
      </c>
      <c r="E4" s="22" t="s">
        <v>377</v>
      </c>
      <c r="F4" s="22" t="s">
        <v>378</v>
      </c>
      <c r="G4" s="23" t="s">
        <v>385</v>
      </c>
      <c r="H4" s="59" t="s">
        <v>380</v>
      </c>
      <c r="I4" s="263"/>
      <c r="J4" s="246"/>
      <c r="K4" s="246"/>
    </row>
    <row r="5" spans="1:11" ht="7.9" customHeight="1" x14ac:dyDescent="0.15">
      <c r="A5" s="60"/>
      <c r="B5" s="22"/>
      <c r="C5" s="22"/>
      <c r="D5" s="22"/>
      <c r="E5" s="22"/>
      <c r="F5" s="22"/>
      <c r="G5" s="23"/>
      <c r="H5" s="23"/>
      <c r="I5" s="261"/>
      <c r="J5" s="247"/>
      <c r="K5" s="247"/>
    </row>
    <row r="6" spans="1:11" ht="7.9" customHeight="1" x14ac:dyDescent="0.15">
      <c r="A6" s="929" t="s">
        <v>788</v>
      </c>
      <c r="B6" s="930"/>
      <c r="C6" s="929"/>
      <c r="D6" s="931"/>
      <c r="E6" s="931"/>
      <c r="F6" s="929"/>
      <c r="G6" s="929"/>
      <c r="H6" s="929"/>
    </row>
    <row r="7" spans="1:11" ht="7.9" customHeight="1" x14ac:dyDescent="0.15">
      <c r="A7" s="53" t="s">
        <v>314</v>
      </c>
      <c r="B7" s="395">
        <v>20796.666666666701</v>
      </c>
      <c r="C7" s="395">
        <v>19479.553571428602</v>
      </c>
      <c r="D7" s="395">
        <v>19295</v>
      </c>
      <c r="E7" s="395">
        <v>19586.666666666701</v>
      </c>
      <c r="F7" s="395">
        <v>19632.666666666701</v>
      </c>
      <c r="G7" s="397">
        <v>19940.869565217399</v>
      </c>
      <c r="H7" s="441">
        <v>20184.5</v>
      </c>
      <c r="I7" s="325"/>
    </row>
    <row r="8" spans="1:11" ht="7.9" customHeight="1" x14ac:dyDescent="0.15">
      <c r="A8" s="53" t="s">
        <v>287</v>
      </c>
      <c r="B8" s="409">
        <v>12125.333333333299</v>
      </c>
      <c r="C8" s="409">
        <v>11626.666666666701</v>
      </c>
      <c r="D8" s="409">
        <v>11655.2</v>
      </c>
      <c r="E8" s="409">
        <v>11162.068965517199</v>
      </c>
      <c r="F8" s="409">
        <v>12128.695652173899</v>
      </c>
      <c r="G8" s="463">
        <v>11816</v>
      </c>
      <c r="H8" s="464">
        <v>10639.677419354801</v>
      </c>
      <c r="I8" s="325"/>
    </row>
    <row r="9" spans="1:11" ht="7.9" customHeight="1" x14ac:dyDescent="0.15">
      <c r="A9" s="53" t="s">
        <v>288</v>
      </c>
      <c r="B9" s="409">
        <v>35426.111111111102</v>
      </c>
      <c r="C9" s="409">
        <v>32270</v>
      </c>
      <c r="D9" s="409">
        <v>31016</v>
      </c>
      <c r="E9" s="409">
        <v>32041.5</v>
      </c>
      <c r="F9" s="409">
        <v>31617</v>
      </c>
      <c r="G9" s="463">
        <v>33250</v>
      </c>
      <c r="H9" s="464">
        <v>37289.5</v>
      </c>
      <c r="I9" s="325"/>
    </row>
    <row r="10" spans="1:11" ht="7.9" customHeight="1" x14ac:dyDescent="0.15">
      <c r="A10" s="53" t="s">
        <v>790</v>
      </c>
      <c r="B10" s="787">
        <v>2.9216608019939962</v>
      </c>
      <c r="C10" s="787">
        <v>2.7755160550458635</v>
      </c>
      <c r="D10" s="787">
        <v>2.661129796142494</v>
      </c>
      <c r="E10" s="787">
        <v>2.8705699721964892</v>
      </c>
      <c r="F10" s="787">
        <v>2.6067930886148583</v>
      </c>
      <c r="G10" s="788">
        <v>2.8139810426540284</v>
      </c>
      <c r="H10" s="787">
        <v>3.5047585119607194</v>
      </c>
      <c r="I10" s="325"/>
    </row>
    <row r="11" spans="1:11" ht="7.9" customHeight="1" x14ac:dyDescent="0.15">
      <c r="B11" s="787"/>
      <c r="C11" s="787"/>
      <c r="D11" s="787"/>
      <c r="E11" s="787"/>
      <c r="F11" s="787"/>
      <c r="G11" s="788"/>
      <c r="H11" s="787"/>
      <c r="I11" s="325"/>
    </row>
    <row r="12" spans="1:11" ht="7.9" customHeight="1" x14ac:dyDescent="0.15">
      <c r="A12" s="929" t="s">
        <v>752</v>
      </c>
      <c r="B12" s="930"/>
      <c r="C12" s="929"/>
      <c r="D12" s="931"/>
      <c r="E12" s="931"/>
      <c r="F12" s="929"/>
      <c r="G12" s="929"/>
      <c r="H12" s="929"/>
      <c r="I12" s="53"/>
      <c r="J12" s="53"/>
      <c r="K12" s="53"/>
    </row>
    <row r="13" spans="1:11" ht="7.9" customHeight="1" x14ac:dyDescent="0.15">
      <c r="A13" s="61" t="s">
        <v>749</v>
      </c>
      <c r="B13" s="96">
        <v>74.8</v>
      </c>
      <c r="C13" s="96">
        <v>71.900000000000006</v>
      </c>
      <c r="D13" s="96">
        <v>70.5</v>
      </c>
      <c r="E13" s="96">
        <v>69.2</v>
      </c>
      <c r="F13" s="96">
        <v>67.099999999999994</v>
      </c>
      <c r="G13" s="665">
        <v>71.600000000000009</v>
      </c>
      <c r="H13" s="121">
        <v>73.3</v>
      </c>
      <c r="I13" s="617"/>
      <c r="J13" s="53"/>
      <c r="K13" s="53"/>
    </row>
    <row r="14" spans="1:11" ht="7.9" customHeight="1" x14ac:dyDescent="0.15">
      <c r="A14" s="61" t="s">
        <v>750</v>
      </c>
      <c r="B14" s="96">
        <v>5</v>
      </c>
      <c r="C14" s="96">
        <v>5.7</v>
      </c>
      <c r="D14" s="96">
        <v>5.3</v>
      </c>
      <c r="E14" s="96">
        <v>5.6</v>
      </c>
      <c r="F14" s="96">
        <v>4.7</v>
      </c>
      <c r="G14" s="665">
        <v>5.2</v>
      </c>
      <c r="H14" s="96">
        <v>5.2</v>
      </c>
      <c r="I14" s="617"/>
      <c r="J14" s="53"/>
      <c r="K14" s="53"/>
    </row>
    <row r="15" spans="1:11" ht="7.9" customHeight="1" x14ac:dyDescent="0.15">
      <c r="A15" s="61" t="s">
        <v>792</v>
      </c>
      <c r="B15" s="96">
        <v>37</v>
      </c>
      <c r="C15" s="96">
        <v>37.200000000000003</v>
      </c>
      <c r="D15" s="96">
        <v>38.9</v>
      </c>
      <c r="E15" s="96">
        <v>40.299999999999997</v>
      </c>
      <c r="F15" s="96">
        <v>43.1</v>
      </c>
      <c r="G15" s="665">
        <v>38.799999999999997</v>
      </c>
      <c r="H15" s="96">
        <v>39.1</v>
      </c>
      <c r="I15" s="617"/>
      <c r="J15" s="53"/>
      <c r="K15" s="53"/>
    </row>
    <row r="16" spans="1:11" ht="7.9" customHeight="1" x14ac:dyDescent="0.15">
      <c r="A16" s="61" t="s">
        <v>751</v>
      </c>
      <c r="B16" s="96">
        <v>-16.8</v>
      </c>
      <c r="C16" s="96">
        <v>-14.8</v>
      </c>
      <c r="D16" s="96">
        <v>-14.7</v>
      </c>
      <c r="E16" s="96">
        <v>-15.1</v>
      </c>
      <c r="F16" s="96">
        <v>-14.9</v>
      </c>
      <c r="G16" s="665">
        <v>-15.6</v>
      </c>
      <c r="H16" s="96">
        <v>-17.600000000000001</v>
      </c>
      <c r="I16" s="617"/>
      <c r="J16" s="53"/>
      <c r="K16" s="53"/>
    </row>
    <row r="17" spans="1:11" ht="7.9" customHeight="1" x14ac:dyDescent="0.15">
      <c r="A17" s="61"/>
      <c r="B17" s="96"/>
      <c r="C17" s="96"/>
      <c r="D17" s="96"/>
      <c r="E17" s="96"/>
      <c r="F17" s="96"/>
      <c r="G17" s="665"/>
      <c r="H17" s="96"/>
      <c r="I17" s="617"/>
      <c r="J17" s="53"/>
      <c r="K17" s="53"/>
    </row>
    <row r="18" spans="1:11" ht="7.9" customHeight="1" x14ac:dyDescent="0.15">
      <c r="A18" s="929" t="s">
        <v>753</v>
      </c>
      <c r="B18" s="930"/>
      <c r="C18" s="929"/>
      <c r="D18" s="931"/>
      <c r="E18" s="931"/>
      <c r="F18" s="929"/>
      <c r="G18" s="929"/>
      <c r="H18" s="929"/>
      <c r="I18" s="617"/>
      <c r="J18" s="53"/>
      <c r="K18" s="53"/>
    </row>
    <row r="19" spans="1:11" ht="7.9" customHeight="1" x14ac:dyDescent="0.15">
      <c r="A19" s="61" t="s">
        <v>749</v>
      </c>
      <c r="B19" s="96">
        <v>45.599999999999994</v>
      </c>
      <c r="C19" s="96">
        <v>45.5</v>
      </c>
      <c r="D19" s="96">
        <v>45.400000000000006</v>
      </c>
      <c r="E19" s="96">
        <v>43.4</v>
      </c>
      <c r="F19" s="96">
        <v>47.2</v>
      </c>
      <c r="G19" s="665">
        <v>45.4</v>
      </c>
      <c r="H19" s="96">
        <v>44.7</v>
      </c>
      <c r="I19" s="617"/>
      <c r="J19" s="53"/>
      <c r="K19" s="53"/>
    </row>
    <row r="20" spans="1:11" ht="7.9" customHeight="1" x14ac:dyDescent="0.15">
      <c r="A20" s="61" t="s">
        <v>750</v>
      </c>
      <c r="B20" s="96">
        <v>39.799999999999997</v>
      </c>
      <c r="C20" s="96">
        <v>41</v>
      </c>
      <c r="D20" s="96">
        <v>35.4</v>
      </c>
      <c r="E20" s="96">
        <v>43.6</v>
      </c>
      <c r="F20" s="96">
        <v>31.6</v>
      </c>
      <c r="G20" s="665">
        <v>39</v>
      </c>
      <c r="H20" s="96">
        <v>39.9</v>
      </c>
      <c r="I20" s="617"/>
      <c r="J20" s="53"/>
      <c r="K20" s="53"/>
    </row>
    <row r="21" spans="1:11" ht="7.9" customHeight="1" x14ac:dyDescent="0.15">
      <c r="A21" s="61" t="s">
        <v>792</v>
      </c>
      <c r="B21" s="96">
        <v>19.099999999999998</v>
      </c>
      <c r="C21" s="96">
        <v>17.600000000000001</v>
      </c>
      <c r="D21" s="96">
        <v>23.7</v>
      </c>
      <c r="E21" s="96">
        <v>17</v>
      </c>
      <c r="F21" s="96">
        <v>25.9</v>
      </c>
      <c r="G21" s="665">
        <v>20</v>
      </c>
      <c r="H21" s="96">
        <v>19.7</v>
      </c>
      <c r="I21" s="617"/>
      <c r="J21" s="53"/>
      <c r="K21" s="53"/>
    </row>
    <row r="22" spans="1:11" ht="7.9" customHeight="1" x14ac:dyDescent="0.15">
      <c r="A22" s="61" t="s">
        <v>751</v>
      </c>
      <c r="B22" s="96">
        <v>-4.5</v>
      </c>
      <c r="C22" s="96">
        <v>-4.0999999999999996</v>
      </c>
      <c r="D22" s="96">
        <v>-4.5</v>
      </c>
      <c r="E22" s="96">
        <v>-4</v>
      </c>
      <c r="F22" s="96">
        <v>-4.7</v>
      </c>
      <c r="G22" s="665">
        <v>-4.4000000000000004</v>
      </c>
      <c r="H22" s="96">
        <v>-4.3</v>
      </c>
      <c r="I22" s="617"/>
      <c r="J22" s="53"/>
      <c r="K22" s="53"/>
    </row>
    <row r="23" spans="1:11" ht="7.9" customHeight="1" thickBot="1" x14ac:dyDescent="0.2">
      <c r="A23" s="1008"/>
      <c r="B23" s="1009"/>
      <c r="C23" s="1009"/>
      <c r="D23" s="1009"/>
      <c r="E23" s="1009"/>
      <c r="F23" s="1009"/>
      <c r="G23" s="1010"/>
      <c r="H23" s="1009"/>
    </row>
    <row r="24" spans="1:11" ht="7.9" customHeight="1" thickTop="1" x14ac:dyDescent="0.15">
      <c r="A24" s="53" t="s">
        <v>877</v>
      </c>
      <c r="D24" s="177"/>
      <c r="E24" s="177"/>
      <c r="H24" s="53"/>
    </row>
    <row r="25" spans="1:11" ht="7.5" customHeight="1" x14ac:dyDescent="0.15">
      <c r="A25" s="77" t="s">
        <v>789</v>
      </c>
      <c r="H25" s="53"/>
    </row>
    <row r="26" spans="1:11" ht="7.5" customHeight="1" x14ac:dyDescent="0.15">
      <c r="A26" s="86" t="s">
        <v>748</v>
      </c>
      <c r="H26" s="53"/>
    </row>
    <row r="27" spans="1:11" ht="7.5" customHeight="1" x14ac:dyDescent="0.15">
      <c r="A27" s="44" t="s">
        <v>791</v>
      </c>
      <c r="I27" s="241"/>
    </row>
    <row r="28" spans="1:11" ht="7.5" customHeight="1" x14ac:dyDescent="0.15">
      <c r="A28" s="44" t="s">
        <v>793</v>
      </c>
      <c r="H28" s="53"/>
    </row>
    <row r="29" spans="1:11" ht="9.9499999999999993" customHeight="1" x14ac:dyDescent="0.15">
      <c r="A29" s="65"/>
    </row>
    <row r="30" spans="1:11" ht="9.9499999999999993" customHeight="1" x14ac:dyDescent="0.15">
      <c r="A30" s="65"/>
    </row>
    <row r="31" spans="1:11" ht="9.9499999999999993" customHeight="1" x14ac:dyDescent="0.15">
      <c r="A31" s="65"/>
    </row>
    <row r="32" spans="1:11" ht="9.9499999999999993" customHeight="1" x14ac:dyDescent="0.2">
      <c r="A32" s="801"/>
    </row>
    <row r="33" spans="1:9" s="798" customFormat="1" ht="9.9499999999999993" customHeight="1" x14ac:dyDescent="0.15">
      <c r="A33" s="797"/>
      <c r="H33" s="799"/>
      <c r="I33" s="800"/>
    </row>
    <row r="34" spans="1:9" s="798" customFormat="1" ht="9.9499999999999993" customHeight="1" x14ac:dyDescent="0.15">
      <c r="A34" s="797"/>
      <c r="H34" s="799"/>
      <c r="I34" s="800"/>
    </row>
    <row r="35" spans="1:9" ht="9.9499999999999993" customHeight="1" x14ac:dyDescent="0.15">
      <c r="A35" s="65"/>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L22"/>
  <sheetViews>
    <sheetView zoomScale="140" zoomScaleNormal="140" workbookViewId="0">
      <selection sqref="A1:H1"/>
    </sheetView>
  </sheetViews>
  <sheetFormatPr baseColWidth="10" defaultRowHeight="9.9499999999999993" customHeight="1" x14ac:dyDescent="0.15"/>
  <cols>
    <col min="1" max="1" width="31.85546875" style="53" customWidth="1"/>
    <col min="2" max="6" width="6.7109375" style="53" customWidth="1"/>
    <col min="7" max="7" width="6.85546875" style="53" customWidth="1"/>
    <col min="8" max="8" width="9.7109375" style="54" bestFit="1" customWidth="1"/>
    <col min="9" max="10" width="7.28515625" style="241" customWidth="1"/>
    <col min="11" max="11" width="23.5703125" style="241" customWidth="1"/>
    <col min="12" max="12" width="11.42578125" style="241" customWidth="1"/>
    <col min="13" max="16384" width="11.42578125" style="53"/>
  </cols>
  <sheetData>
    <row r="1" spans="1:12" ht="15" customHeight="1" x14ac:dyDescent="0.2">
      <c r="A1" s="1018" t="s">
        <v>83</v>
      </c>
      <c r="B1" s="1018"/>
      <c r="C1" s="1018"/>
      <c r="D1" s="1018"/>
      <c r="E1" s="1018"/>
      <c r="F1" s="1018"/>
      <c r="G1" s="1018"/>
      <c r="H1" s="1018"/>
    </row>
    <row r="2" spans="1:12" ht="7.9" customHeight="1" x14ac:dyDescent="0.15">
      <c r="A2" s="56"/>
      <c r="B2" s="57"/>
    </row>
    <row r="3" spans="1:12" ht="20.100000000000001" customHeight="1" x14ac:dyDescent="0.15">
      <c r="A3" s="58"/>
      <c r="B3" s="22" t="s">
        <v>374</v>
      </c>
      <c r="C3" s="22" t="s">
        <v>375</v>
      </c>
      <c r="D3" s="22" t="s">
        <v>376</v>
      </c>
      <c r="E3" s="22" t="s">
        <v>377</v>
      </c>
      <c r="F3" s="22" t="s">
        <v>378</v>
      </c>
      <c r="G3" s="23" t="s">
        <v>379</v>
      </c>
      <c r="H3" s="88" t="s">
        <v>388</v>
      </c>
    </row>
    <row r="4" spans="1:12" ht="7.9" customHeight="1" x14ac:dyDescent="0.15">
      <c r="A4" s="60"/>
      <c r="B4" s="22"/>
      <c r="C4" s="22"/>
      <c r="D4" s="22"/>
      <c r="E4" s="22"/>
      <c r="F4" s="22"/>
      <c r="G4" s="23"/>
      <c r="H4" s="23"/>
    </row>
    <row r="5" spans="1:12" ht="7.9" customHeight="1" x14ac:dyDescent="0.15">
      <c r="A5" s="932" t="s">
        <v>796</v>
      </c>
      <c r="B5" s="933">
        <v>9.9599941809717804E-2</v>
      </c>
      <c r="C5" s="933">
        <v>0.11545805455481201</v>
      </c>
      <c r="D5" s="933">
        <v>0.114492352423404</v>
      </c>
      <c r="E5" s="933">
        <v>0.12940088886972301</v>
      </c>
      <c r="F5" s="933">
        <v>9.9422458559081994E-2</v>
      </c>
      <c r="G5" s="933">
        <v>0.108848912287507</v>
      </c>
      <c r="H5" s="933">
        <v>0.144997348145251</v>
      </c>
      <c r="J5" s="332"/>
    </row>
    <row r="6" spans="1:12" ht="7.9" customHeight="1" x14ac:dyDescent="0.15">
      <c r="A6" s="13" t="s">
        <v>735</v>
      </c>
      <c r="B6" s="615">
        <v>0.170515123775584</v>
      </c>
      <c r="C6" s="615">
        <v>0.19345661450924601</v>
      </c>
      <c r="D6" s="615">
        <v>0.170886075949367</v>
      </c>
      <c r="E6" s="615">
        <v>0.22888632727957101</v>
      </c>
      <c r="F6" s="615">
        <v>0.145045422148813</v>
      </c>
      <c r="G6" s="616">
        <v>0.180734283221442</v>
      </c>
      <c r="H6" s="615">
        <v>0.22836053304127699</v>
      </c>
      <c r="J6" s="332"/>
      <c r="K6" s="332"/>
    </row>
    <row r="7" spans="1:12" ht="7.9" customHeight="1" x14ac:dyDescent="0.15">
      <c r="A7" s="13" t="s">
        <v>736</v>
      </c>
      <c r="B7" s="615">
        <v>6.9238849739571895E-2</v>
      </c>
      <c r="C7" s="615">
        <v>6.9989074490910796E-2</v>
      </c>
      <c r="D7" s="615">
        <v>8.8444109876160498E-2</v>
      </c>
      <c r="E7" s="615">
        <v>6.3093105050102904E-2</v>
      </c>
      <c r="F7" s="615">
        <v>8.9364197743816196E-2</v>
      </c>
      <c r="G7" s="616">
        <v>7.4270924999019106E-2</v>
      </c>
      <c r="H7" s="615">
        <v>8.8816181975504296E-2</v>
      </c>
      <c r="J7" s="332"/>
      <c r="K7" s="332"/>
    </row>
    <row r="8" spans="1:12" ht="7.9" customHeight="1" x14ac:dyDescent="0.15">
      <c r="A8" s="13"/>
      <c r="B8" s="615"/>
      <c r="C8" s="615"/>
      <c r="D8" s="615"/>
      <c r="E8" s="615"/>
      <c r="F8" s="615"/>
      <c r="G8" s="616"/>
      <c r="H8" s="615"/>
      <c r="J8" s="784"/>
      <c r="K8" s="784"/>
    </row>
    <row r="9" spans="1:12" ht="7.9" customHeight="1" x14ac:dyDescent="0.15">
      <c r="A9" s="13" t="s">
        <v>794</v>
      </c>
      <c r="B9" s="121">
        <v>18.6193264570237</v>
      </c>
      <c r="C9" s="121">
        <v>18.320949557789699</v>
      </c>
      <c r="D9" s="121">
        <v>19.079821975608301</v>
      </c>
      <c r="E9" s="121">
        <v>19.655070860203498</v>
      </c>
      <c r="F9" s="121">
        <v>17.175170166326701</v>
      </c>
      <c r="G9" s="346">
        <v>18.505949284517001</v>
      </c>
      <c r="H9" s="121">
        <v>21</v>
      </c>
      <c r="J9" s="338"/>
    </row>
    <row r="10" spans="1:12" ht="7.9" customHeight="1" x14ac:dyDescent="0.15">
      <c r="A10" s="13"/>
      <c r="B10" s="121"/>
      <c r="C10" s="121"/>
      <c r="D10" s="121"/>
      <c r="E10" s="121"/>
      <c r="F10" s="121"/>
      <c r="G10" s="346"/>
      <c r="H10" s="121"/>
      <c r="J10" s="338"/>
    </row>
    <row r="11" spans="1:12" s="65" customFormat="1" ht="7.9" customHeight="1" x14ac:dyDescent="0.15">
      <c r="A11" s="932" t="s">
        <v>797</v>
      </c>
      <c r="B11" s="933"/>
      <c r="C11" s="933"/>
      <c r="D11" s="933"/>
      <c r="E11" s="933"/>
      <c r="F11" s="933"/>
      <c r="G11" s="933"/>
      <c r="H11" s="933"/>
      <c r="I11" s="783"/>
      <c r="J11" s="173"/>
      <c r="K11" s="173"/>
      <c r="L11" s="173"/>
    </row>
    <row r="12" spans="1:12" s="65" customFormat="1" ht="7.9" customHeight="1" x14ac:dyDescent="0.15">
      <c r="A12" s="65" t="s">
        <v>666</v>
      </c>
      <c r="B12" s="718">
        <v>0.2059</v>
      </c>
      <c r="C12" s="718">
        <v>0.1973</v>
      </c>
      <c r="D12" s="718">
        <v>0.1641</v>
      </c>
      <c r="E12" s="718">
        <v>0.215</v>
      </c>
      <c r="F12" s="718">
        <v>0.15640000000000001</v>
      </c>
      <c r="G12" s="720">
        <v>0.1943</v>
      </c>
      <c r="H12" s="719">
        <v>0.24940000000000001</v>
      </c>
      <c r="I12" s="783"/>
      <c r="J12" s="327"/>
      <c r="K12" s="173"/>
      <c r="L12" s="173"/>
    </row>
    <row r="13" spans="1:12" s="65" customFormat="1" ht="7.9" customHeight="1" x14ac:dyDescent="0.15">
      <c r="A13" s="99" t="s">
        <v>667</v>
      </c>
      <c r="B13" s="278">
        <v>0.27350000000000002</v>
      </c>
      <c r="C13" s="278">
        <v>0.2646</v>
      </c>
      <c r="D13" s="278">
        <v>0.2278</v>
      </c>
      <c r="E13" s="278">
        <v>0.28410000000000002</v>
      </c>
      <c r="F13" s="278">
        <v>0.2145</v>
      </c>
      <c r="G13" s="170">
        <v>0.26019999999999999</v>
      </c>
      <c r="H13" s="278">
        <v>0.32629999999999998</v>
      </c>
      <c r="I13" s="173"/>
      <c r="J13" s="332"/>
      <c r="K13" s="781"/>
      <c r="L13" s="173"/>
    </row>
    <row r="14" spans="1:12" s="65" customFormat="1" ht="7.9" customHeight="1" x14ac:dyDescent="0.15">
      <c r="A14" s="99"/>
      <c r="B14" s="278"/>
      <c r="C14" s="278"/>
      <c r="D14" s="278"/>
      <c r="E14" s="278"/>
      <c r="F14" s="278"/>
      <c r="G14" s="170"/>
      <c r="H14" s="278"/>
      <c r="I14" s="173"/>
      <c r="J14" s="332"/>
      <c r="K14" s="781"/>
      <c r="L14" s="173"/>
    </row>
    <row r="15" spans="1:12" s="65" customFormat="1" ht="7.9" customHeight="1" x14ac:dyDescent="0.15">
      <c r="A15" s="929" t="s">
        <v>798</v>
      </c>
      <c r="B15" s="934">
        <v>64400</v>
      </c>
      <c r="C15" s="934">
        <v>37900</v>
      </c>
      <c r="D15" s="934">
        <v>11400</v>
      </c>
      <c r="E15" s="934">
        <v>28000</v>
      </c>
      <c r="F15" s="934">
        <v>26300</v>
      </c>
      <c r="G15" s="935">
        <f>SUM(B15:F15)</f>
        <v>168000</v>
      </c>
      <c r="H15" s="934">
        <v>3777700</v>
      </c>
      <c r="I15" s="173"/>
      <c r="J15" s="332"/>
      <c r="K15" s="781"/>
      <c r="L15" s="173"/>
    </row>
    <row r="16" spans="1:12" ht="7.9" customHeight="1" thickBot="1" x14ac:dyDescent="0.2">
      <c r="A16" s="1008"/>
      <c r="B16" s="1009"/>
      <c r="C16" s="1009"/>
      <c r="D16" s="1009"/>
      <c r="E16" s="1009"/>
      <c r="F16" s="1009"/>
      <c r="G16" s="1010"/>
      <c r="H16" s="1009"/>
      <c r="I16" s="173"/>
      <c r="J16" s="173"/>
      <c r="K16" s="173"/>
    </row>
    <row r="17" spans="1:11" ht="7.9" customHeight="1" thickTop="1" x14ac:dyDescent="0.15">
      <c r="A17" s="13" t="s">
        <v>800</v>
      </c>
      <c r="B17" s="21"/>
      <c r="C17" s="21"/>
      <c r="D17" s="21"/>
      <c r="E17" s="21"/>
      <c r="F17" s="21"/>
      <c r="G17" s="21"/>
      <c r="H17" s="27"/>
    </row>
    <row r="18" spans="1:11" ht="7.5" customHeight="1" x14ac:dyDescent="0.15">
      <c r="A18" s="44" t="s">
        <v>799</v>
      </c>
      <c r="K18" s="593"/>
    </row>
    <row r="19" spans="1:11" ht="7.5" customHeight="1" x14ac:dyDescent="0.15">
      <c r="A19" s="279" t="s">
        <v>795</v>
      </c>
    </row>
    <row r="20" spans="1:11" ht="9.9499999999999993" customHeight="1" x14ac:dyDescent="0.15">
      <c r="A20" s="378"/>
    </row>
    <row r="21" spans="1:11" ht="9.9499999999999993" customHeight="1" x14ac:dyDescent="0.15">
      <c r="A21" s="61"/>
      <c r="B21" s="30"/>
      <c r="C21" s="30"/>
      <c r="D21" s="30"/>
      <c r="E21" s="30"/>
      <c r="F21" s="30"/>
      <c r="G21" s="30"/>
      <c r="H21" s="98"/>
    </row>
    <row r="22" spans="1:11" ht="9.9499999999999993" customHeight="1" x14ac:dyDescent="0.2">
      <c r="A22" s="802"/>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dimension ref="A1:L36"/>
  <sheetViews>
    <sheetView zoomScale="140" zoomScaleNormal="140" workbookViewId="0">
      <selection sqref="A1:H1"/>
    </sheetView>
  </sheetViews>
  <sheetFormatPr baseColWidth="10" defaultRowHeight="9.9499999999999993" customHeight="1" x14ac:dyDescent="0.15"/>
  <cols>
    <col min="1" max="1" width="26.7109375" style="53" customWidth="1"/>
    <col min="2" max="6" width="6.7109375" style="53" customWidth="1"/>
    <col min="7" max="7" width="6.85546875" style="53" customWidth="1"/>
    <col min="8" max="8" width="9.7109375" style="54" bestFit="1" customWidth="1"/>
    <col min="9" max="10" width="7.28515625" style="241" customWidth="1"/>
    <col min="11" max="11" width="23.5703125" style="241" customWidth="1"/>
    <col min="12" max="12" width="11.42578125" style="241" customWidth="1"/>
    <col min="13" max="16384" width="11.42578125" style="53"/>
  </cols>
  <sheetData>
    <row r="1" spans="1:12" ht="15" customHeight="1" x14ac:dyDescent="0.2">
      <c r="A1" s="1018" t="s">
        <v>754</v>
      </c>
      <c r="B1" s="1018"/>
      <c r="C1" s="1018"/>
      <c r="D1" s="1018"/>
      <c r="E1" s="1018"/>
      <c r="F1" s="1018"/>
      <c r="G1" s="1018"/>
      <c r="H1" s="1018"/>
    </row>
    <row r="2" spans="1:12" ht="9.9499999999999993" customHeight="1" x14ac:dyDescent="0.2">
      <c r="A2" s="1022" t="s">
        <v>598</v>
      </c>
      <c r="B2" s="1022"/>
      <c r="C2" s="1022"/>
      <c r="D2" s="1022"/>
      <c r="E2" s="1022"/>
      <c r="F2" s="1022"/>
      <c r="G2" s="1022"/>
      <c r="H2" s="1022"/>
    </row>
    <row r="3" spans="1:12" ht="7.9" customHeight="1" x14ac:dyDescent="0.15">
      <c r="A3" s="56"/>
      <c r="B3" s="57"/>
    </row>
    <row r="4" spans="1:12" ht="20.100000000000001" customHeight="1" x14ac:dyDescent="0.15">
      <c r="A4" s="58"/>
      <c r="B4" s="22" t="s">
        <v>374</v>
      </c>
      <c r="C4" s="22" t="s">
        <v>375</v>
      </c>
      <c r="D4" s="22" t="s">
        <v>376</v>
      </c>
      <c r="E4" s="22" t="s">
        <v>377</v>
      </c>
      <c r="F4" s="22" t="s">
        <v>378</v>
      </c>
      <c r="G4" s="23" t="s">
        <v>379</v>
      </c>
      <c r="H4" s="88" t="s">
        <v>388</v>
      </c>
    </row>
    <row r="5" spans="1:12" ht="7.9" customHeight="1" x14ac:dyDescent="0.15">
      <c r="A5" s="60"/>
      <c r="B5" s="22"/>
      <c r="C5" s="22"/>
      <c r="D5" s="22"/>
      <c r="E5" s="22"/>
      <c r="F5" s="22"/>
      <c r="G5" s="23"/>
      <c r="H5" s="23"/>
    </row>
    <row r="6" spans="1:12" ht="7.9" customHeight="1" x14ac:dyDescent="0.15">
      <c r="A6" s="929" t="s">
        <v>738</v>
      </c>
      <c r="B6" s="930">
        <f>SUM(B7:B8)</f>
        <v>1863</v>
      </c>
      <c r="C6" s="930">
        <f t="shared" ref="C6:F6" si="0">SUM(C7:C8)</f>
        <v>1326</v>
      </c>
      <c r="D6" s="930">
        <f t="shared" si="0"/>
        <v>373</v>
      </c>
      <c r="E6" s="930">
        <f t="shared" si="0"/>
        <v>694</v>
      </c>
      <c r="F6" s="930">
        <f t="shared" si="0"/>
        <v>508</v>
      </c>
      <c r="G6" s="930">
        <f>SUM(G7:G8)</f>
        <v>4764</v>
      </c>
      <c r="H6" s="930">
        <f>SUM(H7:H8)</f>
        <v>128732</v>
      </c>
      <c r="J6" s="332"/>
    </row>
    <row r="7" spans="1:12" ht="7.9" customHeight="1" x14ac:dyDescent="0.15">
      <c r="A7" s="65" t="s">
        <v>674</v>
      </c>
      <c r="B7" s="722">
        <v>1167</v>
      </c>
      <c r="C7" s="722">
        <v>899</v>
      </c>
      <c r="D7" s="722">
        <v>304</v>
      </c>
      <c r="E7" s="722">
        <v>556</v>
      </c>
      <c r="F7" s="722">
        <v>381</v>
      </c>
      <c r="G7" s="26">
        <f>SUM(B7:F7)</f>
        <v>3307</v>
      </c>
      <c r="H7" s="104">
        <v>78657</v>
      </c>
      <c r="J7" s="332"/>
      <c r="K7" s="332"/>
    </row>
    <row r="8" spans="1:12" ht="7.9" customHeight="1" x14ac:dyDescent="0.15">
      <c r="A8" s="721" t="s">
        <v>675</v>
      </c>
      <c r="B8" s="73">
        <v>696</v>
      </c>
      <c r="C8" s="73">
        <v>427</v>
      </c>
      <c r="D8" s="73">
        <v>69</v>
      </c>
      <c r="E8" s="73">
        <v>138</v>
      </c>
      <c r="F8" s="73">
        <v>127</v>
      </c>
      <c r="G8" s="26">
        <f>SUM(B8:F8)</f>
        <v>1457</v>
      </c>
      <c r="H8" s="73">
        <v>50075</v>
      </c>
      <c r="J8" s="332"/>
      <c r="K8" s="332"/>
    </row>
    <row r="9" spans="1:12" ht="7.9" customHeight="1" x14ac:dyDescent="0.15">
      <c r="A9" s="130" t="s">
        <v>739</v>
      </c>
      <c r="B9" s="851">
        <v>9</v>
      </c>
      <c r="C9" s="851">
        <v>10.1</v>
      </c>
      <c r="D9" s="851">
        <v>8.6</v>
      </c>
      <c r="E9" s="851">
        <v>8.1999999999999993</v>
      </c>
      <c r="F9" s="851">
        <v>6.9</v>
      </c>
      <c r="G9" s="852">
        <v>8.8000000000000007</v>
      </c>
      <c r="H9" s="851">
        <v>11.7</v>
      </c>
      <c r="J9" s="784"/>
      <c r="K9" s="784"/>
    </row>
    <row r="10" spans="1:12" ht="7.9" customHeight="1" x14ac:dyDescent="0.15">
      <c r="A10" s="13"/>
      <c r="B10" s="121"/>
      <c r="C10" s="121"/>
      <c r="D10" s="121"/>
      <c r="E10" s="121"/>
      <c r="F10" s="121"/>
      <c r="G10" s="346"/>
      <c r="H10" s="121"/>
      <c r="J10" s="338"/>
    </row>
    <row r="11" spans="1:12" ht="7.9" customHeight="1" x14ac:dyDescent="0.15">
      <c r="A11" s="929" t="s">
        <v>668</v>
      </c>
      <c r="B11" s="930"/>
      <c r="C11" s="930"/>
      <c r="D11" s="930"/>
      <c r="E11" s="930"/>
      <c r="F11" s="930"/>
      <c r="G11" s="930"/>
      <c r="H11" s="930"/>
      <c r="J11" s="338"/>
    </row>
    <row r="12" spans="1:12" s="65" customFormat="1" ht="7.9" customHeight="1" x14ac:dyDescent="0.15">
      <c r="A12" s="65" t="s">
        <v>801</v>
      </c>
      <c r="B12" s="131">
        <v>3973</v>
      </c>
      <c r="C12" s="131">
        <v>2731</v>
      </c>
      <c r="D12" s="131">
        <v>1051</v>
      </c>
      <c r="E12" s="131">
        <v>2660</v>
      </c>
      <c r="F12" s="131">
        <v>1973</v>
      </c>
      <c r="G12" s="26">
        <v>12388</v>
      </c>
      <c r="H12" s="131">
        <v>230964</v>
      </c>
      <c r="I12" s="325"/>
      <c r="J12" s="338"/>
      <c r="K12" s="173"/>
      <c r="L12" s="173"/>
    </row>
    <row r="13" spans="1:12" s="65" customFormat="1" ht="7.9" customHeight="1" x14ac:dyDescent="0.15">
      <c r="A13" s="65" t="s">
        <v>669</v>
      </c>
      <c r="B13" s="719">
        <v>0.89</v>
      </c>
      <c r="C13" s="719">
        <v>0.89800000000000002</v>
      </c>
      <c r="D13" s="719">
        <v>0.84099999999999997</v>
      </c>
      <c r="E13" s="719">
        <v>0.89300000000000002</v>
      </c>
      <c r="F13" s="719">
        <v>0.85499999999999998</v>
      </c>
      <c r="G13" s="627">
        <v>0.88300000000000001</v>
      </c>
      <c r="H13" s="719">
        <v>0.89100000000000001</v>
      </c>
      <c r="I13" s="325"/>
      <c r="J13" s="338"/>
      <c r="K13" s="173"/>
      <c r="L13" s="173"/>
    </row>
    <row r="14" spans="1:12" s="65" customFormat="1" ht="7.9" customHeight="1" x14ac:dyDescent="0.15">
      <c r="A14" s="99" t="s">
        <v>802</v>
      </c>
      <c r="B14" s="853">
        <v>6.3368128597319773E-2</v>
      </c>
      <c r="C14" s="853">
        <v>5.0594919077273648E-2</v>
      </c>
      <c r="D14" s="853">
        <v>3.062463799550752E-2</v>
      </c>
      <c r="E14" s="853">
        <v>5.8891891624579307E-2</v>
      </c>
      <c r="F14" s="853">
        <v>5.3887124882012749E-2</v>
      </c>
      <c r="G14" s="854">
        <v>5.5026332828957303E-2</v>
      </c>
      <c r="H14" s="853">
        <v>3.4454158333630858E-2</v>
      </c>
      <c r="I14" s="325"/>
      <c r="J14" s="338"/>
      <c r="K14" s="173"/>
      <c r="L14" s="173"/>
    </row>
    <row r="15" spans="1:12" s="65" customFormat="1" ht="7.9" customHeight="1" x14ac:dyDescent="0.15">
      <c r="B15" s="719"/>
      <c r="C15" s="719"/>
      <c r="D15" s="719"/>
      <c r="E15" s="719"/>
      <c r="F15" s="719"/>
      <c r="G15" s="720"/>
      <c r="H15" s="719"/>
      <c r="I15" s="785"/>
      <c r="J15" s="338"/>
      <c r="K15" s="173"/>
      <c r="L15" s="173"/>
    </row>
    <row r="16" spans="1:12" s="65" customFormat="1" ht="7.9" customHeight="1" x14ac:dyDescent="0.15">
      <c r="A16" s="929" t="s">
        <v>741</v>
      </c>
      <c r="B16" s="930"/>
      <c r="C16" s="930"/>
      <c r="D16" s="930"/>
      <c r="E16" s="930"/>
      <c r="F16" s="930"/>
      <c r="G16" s="930"/>
      <c r="H16" s="930"/>
      <c r="I16" s="783"/>
      <c r="J16" s="173"/>
      <c r="K16" s="173"/>
      <c r="L16" s="173"/>
    </row>
    <row r="17" spans="1:12" s="65" customFormat="1" ht="7.9" customHeight="1" x14ac:dyDescent="0.15">
      <c r="A17" s="65" t="s">
        <v>764</v>
      </c>
      <c r="B17" s="131">
        <v>1398</v>
      </c>
      <c r="C17" s="131">
        <v>1005</v>
      </c>
      <c r="D17" s="131">
        <v>443</v>
      </c>
      <c r="E17" s="131">
        <v>1133</v>
      </c>
      <c r="F17" s="131">
        <v>731</v>
      </c>
      <c r="G17" s="26">
        <v>4710</v>
      </c>
      <c r="H17" s="131">
        <v>81320</v>
      </c>
      <c r="I17" s="783"/>
      <c r="J17" s="327"/>
      <c r="K17" s="173"/>
      <c r="L17" s="173"/>
    </row>
    <row r="18" spans="1:12" s="65" customFormat="1" ht="7.9" customHeight="1" x14ac:dyDescent="0.15">
      <c r="A18" s="65" t="s">
        <v>742</v>
      </c>
      <c r="B18" s="719">
        <v>0.39600000000000002</v>
      </c>
      <c r="C18" s="719">
        <v>0.41099999999999998</v>
      </c>
      <c r="D18" s="719">
        <v>0.503</v>
      </c>
      <c r="E18" s="719">
        <v>0.47699999999999998</v>
      </c>
      <c r="F18" s="719">
        <v>0.434</v>
      </c>
      <c r="G18" s="627">
        <v>0.43099999999999999</v>
      </c>
      <c r="H18" s="719">
        <v>0.39500000000000002</v>
      </c>
      <c r="I18" s="173"/>
      <c r="J18" s="332"/>
      <c r="K18" s="781"/>
      <c r="L18" s="173"/>
    </row>
    <row r="19" spans="1:12" s="65" customFormat="1" ht="7.9" customHeight="1" x14ac:dyDescent="0.15">
      <c r="A19" s="65" t="s">
        <v>743</v>
      </c>
      <c r="B19" s="719">
        <v>0.01</v>
      </c>
      <c r="C19" s="719">
        <v>1.2E-2</v>
      </c>
      <c r="D19" s="719">
        <v>1.4E-2</v>
      </c>
      <c r="E19" s="719">
        <v>1.4E-2</v>
      </c>
      <c r="F19" s="719">
        <v>0.01</v>
      </c>
      <c r="G19" s="720">
        <v>1.2E-2</v>
      </c>
      <c r="H19" s="719">
        <v>1.2E-2</v>
      </c>
      <c r="I19" s="173"/>
      <c r="J19" s="332"/>
      <c r="K19" s="173"/>
      <c r="L19" s="173"/>
    </row>
    <row r="20" spans="1:12" ht="7.9" customHeight="1" thickBot="1" x14ac:dyDescent="0.2">
      <c r="A20" s="1008"/>
      <c r="B20" s="1009"/>
      <c r="C20" s="1009"/>
      <c r="D20" s="1009"/>
      <c r="E20" s="1009"/>
      <c r="F20" s="1009"/>
      <c r="G20" s="1010"/>
      <c r="H20" s="1009"/>
      <c r="I20" s="173"/>
      <c r="J20" s="173"/>
      <c r="K20" s="173"/>
    </row>
    <row r="21" spans="1:12" ht="7.9" customHeight="1" thickTop="1" x14ac:dyDescent="0.15">
      <c r="A21" s="13" t="s">
        <v>803</v>
      </c>
      <c r="B21" s="21"/>
      <c r="C21" s="21"/>
      <c r="D21" s="21"/>
      <c r="E21" s="21"/>
      <c r="F21" s="21"/>
      <c r="G21" s="21"/>
      <c r="H21" s="27"/>
      <c r="I21" s="173"/>
      <c r="J21" s="173"/>
      <c r="K21" s="173"/>
    </row>
    <row r="22" spans="1:12" ht="7.9" customHeight="1" x14ac:dyDescent="0.15">
      <c r="A22" s="285" t="s">
        <v>740</v>
      </c>
      <c r="I22" s="173"/>
      <c r="J22" s="173"/>
      <c r="K22" s="173"/>
    </row>
    <row r="23" spans="1:12" ht="7.9" customHeight="1" x14ac:dyDescent="0.15">
      <c r="A23" s="786"/>
      <c r="I23" s="173"/>
      <c r="J23" s="781"/>
      <c r="K23" s="173"/>
    </row>
    <row r="24" spans="1:12" ht="7.9" customHeight="1" x14ac:dyDescent="0.15">
      <c r="A24" s="786"/>
      <c r="I24" s="173"/>
      <c r="J24" s="173"/>
      <c r="K24" s="173"/>
    </row>
    <row r="25" spans="1:12" ht="7.9" customHeight="1" x14ac:dyDescent="0.15">
      <c r="A25" s="44"/>
    </row>
    <row r="26" spans="1:12" ht="9.9499999999999993" customHeight="1" x14ac:dyDescent="0.15">
      <c r="A26" s="61"/>
      <c r="B26" s="30"/>
      <c r="C26" s="30"/>
      <c r="D26" s="30"/>
      <c r="E26" s="30"/>
      <c r="F26" s="30"/>
      <c r="G26" s="30"/>
      <c r="H26" s="98"/>
    </row>
    <row r="27" spans="1:12" ht="9.9499999999999993" customHeight="1" x14ac:dyDescent="0.15">
      <c r="A27" s="617"/>
    </row>
    <row r="36" spans="5:5" ht="9.9499999999999993" customHeight="1" x14ac:dyDescent="0.15">
      <c r="E36" s="51"/>
    </row>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U29"/>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9.7109375" style="54" bestFit="1" customWidth="1"/>
    <col min="9" max="9" width="6.7109375" style="259" customWidth="1"/>
    <col min="10" max="10" width="34" style="241" customWidth="1"/>
    <col min="11" max="11" width="24.140625" style="241" customWidth="1"/>
    <col min="12" max="12" width="11.42578125" style="241" customWidth="1"/>
    <col min="13" max="16384" width="11.42578125" style="53"/>
  </cols>
  <sheetData>
    <row r="1" spans="1:21" ht="15" customHeight="1" x14ac:dyDescent="0.15">
      <c r="A1" s="1019" t="s">
        <v>880</v>
      </c>
      <c r="B1" s="1019"/>
      <c r="C1" s="1019"/>
      <c r="D1" s="1019"/>
      <c r="E1" s="1019"/>
      <c r="F1" s="1019"/>
      <c r="G1" s="1019"/>
      <c r="H1" s="1019"/>
    </row>
    <row r="2" spans="1:21" ht="9.9499999999999993" customHeight="1" x14ac:dyDescent="0.15">
      <c r="A2" s="56"/>
      <c r="B2" s="57"/>
    </row>
    <row r="3" spans="1:21" ht="20.100000000000001" customHeight="1" x14ac:dyDescent="0.15">
      <c r="A3" s="58"/>
      <c r="B3" s="22" t="s">
        <v>374</v>
      </c>
      <c r="C3" s="22" t="s">
        <v>384</v>
      </c>
      <c r="D3" s="22" t="s">
        <v>376</v>
      </c>
      <c r="E3" s="22" t="s">
        <v>377</v>
      </c>
      <c r="F3" s="22" t="s">
        <v>378</v>
      </c>
      <c r="G3" s="23" t="s">
        <v>385</v>
      </c>
      <c r="H3" s="88" t="s">
        <v>388</v>
      </c>
      <c r="I3" s="264"/>
      <c r="J3" s="249"/>
      <c r="K3" s="249"/>
      <c r="L3" s="248"/>
      <c r="M3" s="119"/>
      <c r="N3" s="119"/>
      <c r="O3" s="119"/>
      <c r="P3" s="119"/>
      <c r="Q3" s="119"/>
      <c r="R3" s="119"/>
      <c r="S3" s="119"/>
      <c r="T3" s="120"/>
      <c r="U3" s="120"/>
    </row>
    <row r="4" spans="1:21" ht="7.9" customHeight="1" x14ac:dyDescent="0.15">
      <c r="A4" s="78"/>
      <c r="B4" s="74"/>
      <c r="C4" s="74"/>
      <c r="D4" s="74"/>
      <c r="E4" s="74"/>
      <c r="F4" s="74"/>
      <c r="G4" s="74"/>
      <c r="H4" s="74"/>
      <c r="I4" s="262"/>
      <c r="K4" s="173"/>
      <c r="L4" s="173"/>
      <c r="M4" s="65"/>
      <c r="N4" s="65"/>
      <c r="O4" s="65"/>
      <c r="P4" s="65"/>
      <c r="Q4" s="65"/>
      <c r="R4" s="65"/>
      <c r="S4" s="65"/>
      <c r="T4" s="65"/>
      <c r="U4" s="65"/>
    </row>
    <row r="5" spans="1:21" ht="7.9" customHeight="1" x14ac:dyDescent="0.15">
      <c r="A5" s="936" t="s">
        <v>804</v>
      </c>
      <c r="B5" s="937">
        <v>8.5999999999999993E-2</v>
      </c>
      <c r="C5" s="937">
        <v>9.4E-2</v>
      </c>
      <c r="D5" s="937">
        <v>6.9000000000000006E-2</v>
      </c>
      <c r="E5" s="937">
        <v>9.9000000000000005E-2</v>
      </c>
      <c r="F5" s="937">
        <v>8.3000000000000004E-2</v>
      </c>
      <c r="G5" s="937">
        <v>8.7999999999999995E-2</v>
      </c>
      <c r="H5" s="938">
        <v>9.9000000000000005E-2</v>
      </c>
      <c r="I5" s="265"/>
      <c r="J5" s="173"/>
      <c r="K5" s="251"/>
      <c r="L5" s="250"/>
      <c r="M5" s="121"/>
      <c r="N5" s="121"/>
      <c r="O5" s="121"/>
      <c r="P5" s="121"/>
      <c r="Q5" s="121"/>
      <c r="R5" s="121"/>
      <c r="S5" s="121"/>
      <c r="T5" s="65"/>
      <c r="U5" s="65"/>
    </row>
    <row r="6" spans="1:21" ht="7.9" customHeight="1" x14ac:dyDescent="0.15">
      <c r="A6" s="65" t="s">
        <v>805</v>
      </c>
      <c r="B6" s="105">
        <f>('page 14 Pauvreté'!B14/'page 13 Pauvreté'!B24)-1</f>
        <v>5.6657123670165843E-2</v>
      </c>
      <c r="C6" s="105">
        <f>('page 14 Pauvreté'!C14/'page 13 Pauvreté'!C24)-1</f>
        <v>5.1167221132247143E-2</v>
      </c>
      <c r="D6" s="105">
        <f>('page 14 Pauvreté'!D14/'page 13 Pauvreté'!D24)-1</f>
        <v>5.9835258768067057E-2</v>
      </c>
      <c r="E6" s="105">
        <f>('page 14 Pauvreté'!E14/'page 13 Pauvreté'!E24)-1</f>
        <v>4.0582276395980887E-2</v>
      </c>
      <c r="F6" s="105">
        <f>('page 14 Pauvreté'!F14/'page 13 Pauvreté'!F24)-1</f>
        <v>4.4957152274225365E-2</v>
      </c>
      <c r="G6" s="182">
        <f>('page 14 Pauvreté'!G14/'page 13 Pauvreté'!G24)-1</f>
        <v>5.0985956200160221E-2</v>
      </c>
      <c r="H6" s="105">
        <f>('page 14 Pauvreté'!H14/'page 13 Pauvreté'!H24)-1</f>
        <v>4.9130912966574458E-2</v>
      </c>
      <c r="I6" s="265"/>
      <c r="J6" s="173"/>
      <c r="K6" s="251"/>
      <c r="L6" s="250"/>
      <c r="M6" s="121"/>
      <c r="N6" s="121"/>
      <c r="O6" s="121"/>
      <c r="P6" s="121"/>
      <c r="Q6" s="121"/>
      <c r="R6" s="121"/>
      <c r="S6" s="121"/>
      <c r="T6" s="65"/>
      <c r="U6" s="65"/>
    </row>
    <row r="7" spans="1:21" ht="7.9" customHeight="1" x14ac:dyDescent="0.15">
      <c r="H7" s="53"/>
      <c r="I7" s="265"/>
      <c r="J7" s="173"/>
      <c r="K7" s="251"/>
      <c r="L7" s="250"/>
      <c r="M7" s="121"/>
      <c r="N7" s="121"/>
      <c r="O7" s="121"/>
      <c r="P7" s="121"/>
      <c r="Q7" s="121"/>
      <c r="R7" s="121"/>
      <c r="S7" s="121"/>
      <c r="T7" s="65"/>
      <c r="U7" s="65"/>
    </row>
    <row r="8" spans="1:21" ht="7.9" customHeight="1" x14ac:dyDescent="0.15">
      <c r="A8" s="936" t="s">
        <v>807</v>
      </c>
      <c r="B8" s="937">
        <v>0.10903191177905729</v>
      </c>
      <c r="C8" s="937">
        <v>0.11213397266449458</v>
      </c>
      <c r="D8" s="937">
        <v>8.210973984899668E-2</v>
      </c>
      <c r="E8" s="937">
        <v>0.11945389960473722</v>
      </c>
      <c r="F8" s="937">
        <v>9.6205302846022869E-2</v>
      </c>
      <c r="G8" s="937">
        <v>0.10678835805541392</v>
      </c>
      <c r="H8" s="938">
        <v>0.1242241695692127</v>
      </c>
      <c r="I8" s="265"/>
      <c r="K8" s="251"/>
      <c r="L8" s="250"/>
      <c r="M8" s="121"/>
      <c r="N8" s="121"/>
      <c r="O8" s="121"/>
      <c r="P8" s="121"/>
      <c r="Q8" s="121"/>
      <c r="R8" s="121"/>
      <c r="S8" s="121"/>
      <c r="T8" s="65"/>
      <c r="U8" s="65"/>
    </row>
    <row r="9" spans="1:21" ht="7.9" customHeight="1" x14ac:dyDescent="0.15">
      <c r="A9" s="53" t="s">
        <v>363</v>
      </c>
      <c r="B9" s="105">
        <v>0.23510177181820485</v>
      </c>
      <c r="C9" s="105">
        <v>0.2296582351805368</v>
      </c>
      <c r="D9" s="105">
        <v>0.19357340720221608</v>
      </c>
      <c r="E9" s="105">
        <v>0.26506739504780003</v>
      </c>
      <c r="F9" s="105">
        <v>0.20552859253006964</v>
      </c>
      <c r="G9" s="182">
        <v>0.22993691281259929</v>
      </c>
      <c r="H9" s="105">
        <v>0.27790124277338807</v>
      </c>
      <c r="I9" s="265"/>
      <c r="K9" s="251"/>
      <c r="L9" s="250"/>
      <c r="M9" s="121"/>
      <c r="N9" s="121"/>
      <c r="O9" s="121"/>
      <c r="P9" s="121"/>
      <c r="Q9" s="121"/>
      <c r="R9" s="121"/>
      <c r="S9" s="121"/>
      <c r="T9" s="65"/>
      <c r="U9" s="65"/>
    </row>
    <row r="10" spans="1:21" ht="7.9" customHeight="1" x14ac:dyDescent="0.15">
      <c r="A10" s="53" t="s">
        <v>54</v>
      </c>
      <c r="B10" s="105">
        <v>9.6465866509424986E-2</v>
      </c>
      <c r="C10" s="105">
        <v>9.9261192231299186E-2</v>
      </c>
      <c r="D10" s="105">
        <v>7.0647658197402374E-2</v>
      </c>
      <c r="E10" s="105">
        <v>0.10549707320598367</v>
      </c>
      <c r="F10" s="105">
        <v>8.1737645206762077E-2</v>
      </c>
      <c r="G10" s="182">
        <v>9.3724059866683432E-2</v>
      </c>
      <c r="H10" s="105">
        <v>0.1107524504537265</v>
      </c>
      <c r="I10" s="265"/>
      <c r="K10" s="251"/>
      <c r="L10" s="173"/>
      <c r="M10" s="65"/>
      <c r="N10" s="65"/>
      <c r="O10" s="65"/>
      <c r="P10" s="65"/>
      <c r="Q10" s="65"/>
      <c r="R10" s="65"/>
      <c r="S10" s="65"/>
      <c r="T10" s="65"/>
      <c r="U10" s="65"/>
    </row>
    <row r="11" spans="1:21" ht="7.9" customHeight="1" x14ac:dyDescent="0.15">
      <c r="A11" s="53" t="s">
        <v>55</v>
      </c>
      <c r="B11" s="105">
        <v>7.9207287428673778E-2</v>
      </c>
      <c r="C11" s="105">
        <v>8.1625153123723967E-2</v>
      </c>
      <c r="D11" s="105">
        <v>5.7405986185725247E-2</v>
      </c>
      <c r="E11" s="105">
        <v>8.2475700400228696E-2</v>
      </c>
      <c r="F11" s="105">
        <v>7.9577781104955836E-2</v>
      </c>
      <c r="G11" s="182">
        <v>7.8401926563303304E-2</v>
      </c>
      <c r="H11" s="105">
        <v>8.877148954587126E-2</v>
      </c>
      <c r="I11" s="265"/>
      <c r="K11" s="251"/>
      <c r="L11" s="173"/>
      <c r="M11" s="65"/>
      <c r="N11" s="65"/>
      <c r="O11" s="65"/>
      <c r="P11" s="65"/>
      <c r="Q11" s="65"/>
      <c r="R11" s="65"/>
      <c r="S11" s="65"/>
      <c r="T11" s="65"/>
      <c r="U11" s="65"/>
    </row>
    <row r="12" spans="1:21" ht="7.9" customHeight="1" x14ac:dyDescent="0.15">
      <c r="A12" s="936" t="s">
        <v>808</v>
      </c>
      <c r="B12" s="937">
        <v>0.11723305526252775</v>
      </c>
      <c r="C12" s="937">
        <v>0.12805614871463805</v>
      </c>
      <c r="D12" s="937">
        <v>9.3832225839539762E-2</v>
      </c>
      <c r="E12" s="937">
        <v>0.13283703709563854</v>
      </c>
      <c r="F12" s="937">
        <v>0.12405421020026033</v>
      </c>
      <c r="G12" s="937">
        <v>0.12126828926429702</v>
      </c>
      <c r="H12" s="938">
        <v>0.136267184311054</v>
      </c>
      <c r="I12" s="265"/>
      <c r="K12" s="173"/>
      <c r="L12" s="173"/>
      <c r="M12" s="65"/>
      <c r="N12" s="65"/>
      <c r="O12" s="65"/>
      <c r="P12" s="65"/>
      <c r="Q12" s="65"/>
      <c r="R12" s="65"/>
      <c r="S12" s="65"/>
      <c r="T12" s="65"/>
      <c r="U12" s="65"/>
    </row>
    <row r="13" spans="1:21" ht="7.9" customHeight="1" x14ac:dyDescent="0.15">
      <c r="A13" s="53" t="s">
        <v>363</v>
      </c>
      <c r="B13" s="105">
        <v>0.25038742528226698</v>
      </c>
      <c r="C13" s="105">
        <v>0.2710979812900049</v>
      </c>
      <c r="D13" s="105">
        <v>0.21940989297078392</v>
      </c>
      <c r="E13" s="105">
        <v>0.30326854480599841</v>
      </c>
      <c r="F13" s="105">
        <v>0.28051609162075963</v>
      </c>
      <c r="G13" s="182">
        <v>0.26600831239797629</v>
      </c>
      <c r="H13" s="105">
        <v>0.28907617338537106</v>
      </c>
      <c r="I13" s="265"/>
      <c r="K13" s="173"/>
      <c r="L13" s="173"/>
      <c r="M13" s="65"/>
      <c r="N13" s="65"/>
      <c r="O13" s="65"/>
      <c r="P13" s="65"/>
      <c r="Q13" s="65"/>
      <c r="R13" s="65"/>
      <c r="S13" s="65"/>
      <c r="T13" s="65"/>
      <c r="U13" s="65"/>
    </row>
    <row r="14" spans="1:21" ht="7.9" customHeight="1" x14ac:dyDescent="0.15">
      <c r="A14" s="53" t="s">
        <v>54</v>
      </c>
      <c r="B14" s="105">
        <v>0.11137412416652546</v>
      </c>
      <c r="C14" s="105">
        <v>0.11864778357521813</v>
      </c>
      <c r="D14" s="105">
        <v>8.6381614360270545E-2</v>
      </c>
      <c r="E14" s="105">
        <v>0.12295433882210324</v>
      </c>
      <c r="F14" s="105">
        <v>0.10991018586384571</v>
      </c>
      <c r="G14" s="182">
        <v>0.11239763955487883</v>
      </c>
      <c r="H14" s="105">
        <v>0.12951067802342753</v>
      </c>
      <c r="I14" s="265"/>
      <c r="K14" s="173"/>
      <c r="L14" s="173"/>
      <c r="M14" s="65"/>
      <c r="N14" s="65"/>
      <c r="O14" s="65"/>
      <c r="P14" s="65"/>
      <c r="Q14" s="65"/>
      <c r="R14" s="65"/>
      <c r="S14" s="65"/>
      <c r="T14" s="65"/>
      <c r="U14" s="65"/>
    </row>
    <row r="15" spans="1:21" ht="7.5" customHeight="1" x14ac:dyDescent="0.15">
      <c r="A15" s="53" t="s">
        <v>55</v>
      </c>
      <c r="B15" s="105">
        <v>7.7706840390879481E-2</v>
      </c>
      <c r="C15" s="105">
        <v>8.8937232068590444E-2</v>
      </c>
      <c r="D15" s="105">
        <v>6.2748212867355047E-2</v>
      </c>
      <c r="E15" s="105">
        <v>8.6370697896749518E-2</v>
      </c>
      <c r="F15" s="105">
        <v>0.1015446224256293</v>
      </c>
      <c r="G15" s="182">
        <v>8.4595106758227331E-2</v>
      </c>
      <c r="H15" s="105">
        <v>9.3453866690940912E-2</v>
      </c>
      <c r="I15" s="265"/>
      <c r="K15" s="173"/>
      <c r="L15" s="173"/>
      <c r="M15" s="65"/>
      <c r="N15" s="65"/>
      <c r="O15" s="65"/>
      <c r="P15" s="65"/>
      <c r="Q15" s="65"/>
      <c r="R15" s="65"/>
      <c r="S15" s="65"/>
      <c r="T15" s="65"/>
      <c r="U15" s="65"/>
    </row>
    <row r="16" spans="1:21" ht="7.5" customHeight="1" thickBot="1" x14ac:dyDescent="0.2">
      <c r="A16" s="1008"/>
      <c r="B16" s="1009"/>
      <c r="C16" s="1009"/>
      <c r="D16" s="1009"/>
      <c r="E16" s="1009"/>
      <c r="F16" s="1009"/>
      <c r="G16" s="1010"/>
      <c r="H16" s="1009"/>
      <c r="I16" s="265"/>
    </row>
    <row r="17" spans="1:12" ht="7.5" customHeight="1" thickTop="1" x14ac:dyDescent="0.15">
      <c r="A17" s="53" t="s">
        <v>879</v>
      </c>
      <c r="B17" s="21"/>
      <c r="C17" s="21"/>
      <c r="D17" s="21"/>
      <c r="E17" s="21"/>
      <c r="F17" s="21"/>
      <c r="G17" s="21"/>
      <c r="H17" s="21"/>
      <c r="I17" s="855"/>
      <c r="J17" s="855"/>
    </row>
    <row r="18" spans="1:12" ht="8.1" customHeight="1" x14ac:dyDescent="0.15">
      <c r="A18" s="86" t="s">
        <v>878</v>
      </c>
      <c r="B18" s="21"/>
      <c r="C18" s="21"/>
      <c r="D18" s="21"/>
      <c r="E18" s="21"/>
      <c r="F18" s="21"/>
      <c r="G18" s="21"/>
      <c r="H18" s="21"/>
      <c r="I18" s="855"/>
      <c r="J18" s="855"/>
    </row>
    <row r="19" spans="1:12" ht="7.9" customHeight="1" x14ac:dyDescent="0.15">
      <c r="A19" s="86"/>
      <c r="B19" s="91"/>
      <c r="C19" s="91"/>
      <c r="D19" s="91"/>
      <c r="E19" s="91"/>
      <c r="F19" s="91"/>
      <c r="G19" s="91"/>
      <c r="H19" s="91"/>
      <c r="I19" s="855"/>
      <c r="J19" s="855"/>
    </row>
    <row r="20" spans="1:12" ht="7.9" customHeight="1" x14ac:dyDescent="0.15">
      <c r="A20" s="692"/>
      <c r="B20" s="97"/>
      <c r="C20" s="97"/>
      <c r="D20" s="97"/>
      <c r="E20" s="97"/>
      <c r="F20" s="97"/>
      <c r="G20" s="97"/>
      <c r="H20" s="97"/>
      <c r="I20" s="855"/>
      <c r="J20" s="855"/>
      <c r="K20" s="667"/>
      <c r="L20" s="667"/>
    </row>
    <row r="21" spans="1:12" ht="7.9" customHeight="1" x14ac:dyDescent="0.15">
      <c r="A21" s="692"/>
      <c r="H21" s="63"/>
      <c r="I21" s="855"/>
      <c r="J21" s="855"/>
      <c r="K21" s="667"/>
      <c r="L21" s="667"/>
    </row>
    <row r="22" spans="1:12" ht="7.9" customHeight="1" x14ac:dyDescent="0.15">
      <c r="B22" s="280"/>
      <c r="C22" s="280"/>
      <c r="D22" s="280"/>
      <c r="E22" s="280"/>
      <c r="F22" s="280"/>
      <c r="G22" s="281"/>
      <c r="H22" s="282"/>
      <c r="I22" s="855"/>
      <c r="J22" s="855"/>
      <c r="K22" s="667"/>
      <c r="L22" s="667"/>
    </row>
    <row r="23" spans="1:12" ht="7.9" customHeight="1" x14ac:dyDescent="0.15">
      <c r="H23" s="62"/>
      <c r="I23" s="265"/>
      <c r="K23" s="666"/>
      <c r="L23" s="666"/>
    </row>
    <row r="24" spans="1:12" ht="7.9" customHeight="1" x14ac:dyDescent="0.15">
      <c r="A24" s="387" t="s">
        <v>806</v>
      </c>
      <c r="B24" s="466">
        <v>113172</v>
      </c>
      <c r="C24" s="466">
        <v>70338</v>
      </c>
      <c r="D24" s="466">
        <v>19303</v>
      </c>
      <c r="E24" s="466">
        <v>48568</v>
      </c>
      <c r="F24" s="466">
        <v>53095</v>
      </c>
      <c r="G24" s="466">
        <v>304476</v>
      </c>
      <c r="H24" s="465">
        <v>5291760</v>
      </c>
    </row>
    <row r="25" spans="1:12" ht="7.9" customHeight="1" x14ac:dyDescent="0.15">
      <c r="B25" s="387"/>
      <c r="C25" s="387"/>
      <c r="D25" s="387"/>
      <c r="E25" s="387"/>
      <c r="F25" s="387"/>
      <c r="G25" s="387"/>
      <c r="H25" s="467"/>
    </row>
    <row r="26" spans="1:12" ht="7.9" customHeight="1" x14ac:dyDescent="0.15"/>
    <row r="27" spans="1:12" ht="7.9" customHeight="1" x14ac:dyDescent="0.15">
      <c r="B27" s="96"/>
      <c r="C27" s="96"/>
      <c r="D27" s="96"/>
      <c r="E27" s="96"/>
      <c r="F27" s="96"/>
      <c r="G27" s="96"/>
      <c r="H27" s="96"/>
    </row>
    <row r="29" spans="1:12" ht="9.9499999999999993" customHeight="1" x14ac:dyDescent="0.15">
      <c r="A29" s="66"/>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L47"/>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9.85546875" style="54" customWidth="1"/>
    <col min="9" max="9" width="6.7109375" style="259" customWidth="1"/>
    <col min="10" max="10" width="34" style="241" customWidth="1"/>
    <col min="11" max="11" width="24.140625" style="241" customWidth="1"/>
    <col min="12" max="12" width="11.42578125" style="241" customWidth="1"/>
    <col min="13" max="16384" width="11.42578125" style="53"/>
  </cols>
  <sheetData>
    <row r="1" spans="1:10" ht="15" customHeight="1" x14ac:dyDescent="0.15">
      <c r="A1" s="1019" t="s">
        <v>382</v>
      </c>
      <c r="B1" s="1019"/>
      <c r="C1" s="1019"/>
      <c r="D1" s="1019"/>
      <c r="E1" s="1019"/>
      <c r="F1" s="1019"/>
      <c r="G1" s="1019"/>
      <c r="H1" s="1019"/>
    </row>
    <row r="2" spans="1:10" ht="9.9499999999999993" customHeight="1" x14ac:dyDescent="0.15">
      <c r="A2" s="1021" t="s">
        <v>809</v>
      </c>
      <c r="B2" s="1021"/>
      <c r="C2" s="1021"/>
      <c r="D2" s="1021"/>
      <c r="E2" s="1021"/>
      <c r="F2" s="1021"/>
      <c r="G2" s="1021"/>
      <c r="H2" s="1021"/>
    </row>
    <row r="3" spans="1:10" ht="7.9" customHeight="1" x14ac:dyDescent="0.15">
      <c r="A3" s="56"/>
      <c r="B3" s="57"/>
    </row>
    <row r="4" spans="1:10" ht="20.100000000000001" customHeight="1" x14ac:dyDescent="0.15">
      <c r="A4" s="58"/>
      <c r="B4" s="22" t="s">
        <v>374</v>
      </c>
      <c r="C4" s="22" t="s">
        <v>384</v>
      </c>
      <c r="D4" s="22" t="s">
        <v>376</v>
      </c>
      <c r="E4" s="22" t="s">
        <v>377</v>
      </c>
      <c r="F4" s="22" t="s">
        <v>378</v>
      </c>
      <c r="G4" s="23" t="s">
        <v>385</v>
      </c>
      <c r="H4" s="59" t="s">
        <v>380</v>
      </c>
      <c r="I4" s="262"/>
      <c r="J4" s="173"/>
    </row>
    <row r="5" spans="1:10" ht="7.9" customHeight="1" x14ac:dyDescent="0.15">
      <c r="A5" s="78"/>
      <c r="B5" s="74"/>
      <c r="C5" s="74"/>
      <c r="D5" s="74"/>
      <c r="E5" s="74"/>
      <c r="F5" s="74"/>
      <c r="G5" s="74"/>
      <c r="H5" s="74"/>
    </row>
    <row r="6" spans="1:10" ht="7.9" customHeight="1" x14ac:dyDescent="0.15">
      <c r="A6" s="936" t="s">
        <v>422</v>
      </c>
      <c r="B6" s="939">
        <f>SUM(B7:B9)</f>
        <v>57352</v>
      </c>
      <c r="C6" s="939">
        <f t="shared" ref="C6:H6" si="0">SUM(C7:C9)</f>
        <v>34532</v>
      </c>
      <c r="D6" s="939">
        <f t="shared" si="0"/>
        <v>9704</v>
      </c>
      <c r="E6" s="939">
        <f t="shared" si="0"/>
        <v>24054</v>
      </c>
      <c r="F6" s="939">
        <f t="shared" si="0"/>
        <v>25344</v>
      </c>
      <c r="G6" s="939">
        <f t="shared" si="0"/>
        <v>150986</v>
      </c>
      <c r="H6" s="939">
        <f t="shared" si="0"/>
        <v>2775185</v>
      </c>
      <c r="I6" s="338"/>
    </row>
    <row r="7" spans="1:10" ht="7.9" customHeight="1" x14ac:dyDescent="0.15">
      <c r="A7" s="128" t="s">
        <v>363</v>
      </c>
      <c r="B7" s="48">
        <v>10080</v>
      </c>
      <c r="C7" s="48">
        <v>6683</v>
      </c>
      <c r="D7" s="48">
        <v>1928</v>
      </c>
      <c r="E7" s="48">
        <v>4819</v>
      </c>
      <c r="F7" s="48">
        <v>4841</v>
      </c>
      <c r="G7" s="49">
        <f>SUM(B7:F7)</f>
        <v>28351</v>
      </c>
      <c r="H7" s="89">
        <v>430341</v>
      </c>
      <c r="I7" s="338"/>
    </row>
    <row r="8" spans="1:10" ht="7.9" customHeight="1" x14ac:dyDescent="0.15">
      <c r="A8" s="128" t="s">
        <v>364</v>
      </c>
      <c r="B8" s="48">
        <v>36345</v>
      </c>
      <c r="C8" s="48">
        <v>20843</v>
      </c>
      <c r="D8" s="48">
        <v>5855</v>
      </c>
      <c r="E8" s="48">
        <v>14321</v>
      </c>
      <c r="F8" s="48">
        <v>14724</v>
      </c>
      <c r="G8" s="49">
        <f>SUM(B8:F8)</f>
        <v>92088</v>
      </c>
      <c r="H8" s="89">
        <v>1726501</v>
      </c>
      <c r="I8" s="338"/>
    </row>
    <row r="9" spans="1:10" ht="7.9" customHeight="1" x14ac:dyDescent="0.15">
      <c r="A9" s="128" t="s">
        <v>365</v>
      </c>
      <c r="B9" s="48">
        <v>10927</v>
      </c>
      <c r="C9" s="48">
        <v>7006</v>
      </c>
      <c r="D9" s="48">
        <v>1921</v>
      </c>
      <c r="E9" s="48">
        <v>4914</v>
      </c>
      <c r="F9" s="48">
        <v>5779</v>
      </c>
      <c r="G9" s="49">
        <f>SUM(B9:F9)</f>
        <v>30547</v>
      </c>
      <c r="H9" s="89">
        <v>618343</v>
      </c>
      <c r="I9" s="338"/>
    </row>
    <row r="10" spans="1:10" ht="7.9" customHeight="1" x14ac:dyDescent="0.15">
      <c r="A10" s="936" t="s">
        <v>423</v>
      </c>
      <c r="B10" s="939">
        <f>SUM(B11:B13)</f>
        <v>62232</v>
      </c>
      <c r="C10" s="939">
        <f t="shared" ref="C10:H10" si="1">SUM(C11:C13)</f>
        <v>39405</v>
      </c>
      <c r="D10" s="939">
        <f t="shared" si="1"/>
        <v>10754</v>
      </c>
      <c r="E10" s="939">
        <f>SUM(E11:E13)</f>
        <v>26485</v>
      </c>
      <c r="F10" s="939">
        <f t="shared" si="1"/>
        <v>30138</v>
      </c>
      <c r="G10" s="939">
        <f t="shared" si="1"/>
        <v>169014</v>
      </c>
      <c r="H10" s="939">
        <f t="shared" si="1"/>
        <v>2776564</v>
      </c>
      <c r="I10" s="338"/>
    </row>
    <row r="11" spans="1:10" ht="7.9" customHeight="1" x14ac:dyDescent="0.15">
      <c r="A11" s="128" t="s">
        <v>363</v>
      </c>
      <c r="B11" s="48">
        <v>10036</v>
      </c>
      <c r="C11" s="48">
        <v>6705</v>
      </c>
      <c r="D11" s="48">
        <v>2000</v>
      </c>
      <c r="E11" s="48">
        <v>4729</v>
      </c>
      <c r="F11" s="48">
        <v>5026</v>
      </c>
      <c r="G11" s="49">
        <f t="shared" ref="G11:G23" si="2">SUM(B11:F11)</f>
        <v>28496</v>
      </c>
      <c r="H11" s="89">
        <v>394231</v>
      </c>
      <c r="I11" s="338"/>
    </row>
    <row r="12" spans="1:10" ht="7.9" customHeight="1" x14ac:dyDescent="0.15">
      <c r="A12" s="128" t="s">
        <v>364</v>
      </c>
      <c r="B12" s="48">
        <v>39243</v>
      </c>
      <c r="C12" s="48">
        <v>23402</v>
      </c>
      <c r="D12" s="48">
        <v>6418</v>
      </c>
      <c r="E12" s="48">
        <v>15694</v>
      </c>
      <c r="F12" s="48">
        <v>17025</v>
      </c>
      <c r="G12" s="49">
        <f t="shared" si="2"/>
        <v>101782</v>
      </c>
      <c r="H12" s="89">
        <v>1718094</v>
      </c>
      <c r="I12" s="338"/>
    </row>
    <row r="13" spans="1:10" ht="7.9" customHeight="1" x14ac:dyDescent="0.15">
      <c r="A13" s="128" t="s">
        <v>365</v>
      </c>
      <c r="B13" s="48">
        <v>12953</v>
      </c>
      <c r="C13" s="48">
        <v>9298</v>
      </c>
      <c r="D13" s="48">
        <v>2336</v>
      </c>
      <c r="E13" s="48">
        <v>6062</v>
      </c>
      <c r="F13" s="48">
        <v>8087</v>
      </c>
      <c r="G13" s="49">
        <f t="shared" si="2"/>
        <v>38736</v>
      </c>
      <c r="H13" s="89">
        <v>664239</v>
      </c>
      <c r="I13" s="338"/>
    </row>
    <row r="14" spans="1:10" ht="7.9" customHeight="1" x14ac:dyDescent="0.15">
      <c r="A14" s="936" t="s">
        <v>392</v>
      </c>
      <c r="B14" s="939">
        <f>B6+B10</f>
        <v>119584</v>
      </c>
      <c r="C14" s="939">
        <f t="shared" ref="C14:H15" si="3">C6+C10</f>
        <v>73937</v>
      </c>
      <c r="D14" s="939">
        <f t="shared" si="3"/>
        <v>20458</v>
      </c>
      <c r="E14" s="939">
        <f t="shared" si="3"/>
        <v>50539</v>
      </c>
      <c r="F14" s="939">
        <f t="shared" si="3"/>
        <v>55482</v>
      </c>
      <c r="G14" s="939">
        <f t="shared" si="3"/>
        <v>320000</v>
      </c>
      <c r="H14" s="939">
        <f t="shared" si="3"/>
        <v>5551749</v>
      </c>
      <c r="I14" s="338"/>
    </row>
    <row r="15" spans="1:10" ht="7.9" customHeight="1" x14ac:dyDescent="0.15">
      <c r="A15" s="128" t="s">
        <v>363</v>
      </c>
      <c r="B15" s="48">
        <f>B7+B11</f>
        <v>20116</v>
      </c>
      <c r="C15" s="48">
        <f t="shared" si="3"/>
        <v>13388</v>
      </c>
      <c r="D15" s="48">
        <f t="shared" si="3"/>
        <v>3928</v>
      </c>
      <c r="E15" s="48">
        <f t="shared" si="3"/>
        <v>9548</v>
      </c>
      <c r="F15" s="48">
        <f t="shared" si="3"/>
        <v>9867</v>
      </c>
      <c r="G15" s="49">
        <f t="shared" si="2"/>
        <v>56847</v>
      </c>
      <c r="H15" s="48">
        <f t="shared" si="3"/>
        <v>824572</v>
      </c>
      <c r="I15" s="338"/>
    </row>
    <row r="16" spans="1:10" ht="7.9" customHeight="1" x14ac:dyDescent="0.15">
      <c r="A16" s="128" t="s">
        <v>364</v>
      </c>
      <c r="B16" s="48">
        <f t="shared" ref="B16:H17" si="4">B8+B12</f>
        <v>75588</v>
      </c>
      <c r="C16" s="48">
        <f t="shared" si="4"/>
        <v>44245</v>
      </c>
      <c r="D16" s="48">
        <f t="shared" si="4"/>
        <v>12273</v>
      </c>
      <c r="E16" s="48">
        <f t="shared" si="4"/>
        <v>30015</v>
      </c>
      <c r="F16" s="48">
        <f t="shared" si="4"/>
        <v>31749</v>
      </c>
      <c r="G16" s="49">
        <f t="shared" si="2"/>
        <v>193870</v>
      </c>
      <c r="H16" s="48">
        <f t="shared" si="4"/>
        <v>3444595</v>
      </c>
      <c r="I16" s="338"/>
      <c r="J16" s="252"/>
    </row>
    <row r="17" spans="1:10" ht="7.9" customHeight="1" x14ac:dyDescent="0.15">
      <c r="A17" s="128" t="s">
        <v>365</v>
      </c>
      <c r="B17" s="48">
        <f t="shared" si="4"/>
        <v>23880</v>
      </c>
      <c r="C17" s="48">
        <f t="shared" si="4"/>
        <v>16304</v>
      </c>
      <c r="D17" s="48">
        <f t="shared" si="4"/>
        <v>4257</v>
      </c>
      <c r="E17" s="48">
        <f t="shared" si="4"/>
        <v>10976</v>
      </c>
      <c r="F17" s="48">
        <f t="shared" si="4"/>
        <v>13866</v>
      </c>
      <c r="G17" s="49">
        <f t="shared" si="2"/>
        <v>69283</v>
      </c>
      <c r="H17" s="48">
        <f t="shared" si="4"/>
        <v>1282582</v>
      </c>
      <c r="I17" s="338"/>
      <c r="J17" s="252"/>
    </row>
    <row r="18" spans="1:10" ht="7.9" customHeight="1" x14ac:dyDescent="0.15">
      <c r="A18" s="128"/>
      <c r="B18" s="48"/>
      <c r="C18" s="48"/>
      <c r="D18" s="48"/>
      <c r="E18" s="48"/>
      <c r="F18" s="48"/>
      <c r="G18" s="49"/>
      <c r="H18" s="48"/>
      <c r="I18" s="338"/>
      <c r="J18" s="252"/>
    </row>
    <row r="19" spans="1:10" ht="7.9" customHeight="1" x14ac:dyDescent="0.15">
      <c r="A19" s="936" t="s">
        <v>391</v>
      </c>
      <c r="B19" s="939">
        <v>67568</v>
      </c>
      <c r="C19" s="939">
        <v>41970</v>
      </c>
      <c r="D19" s="939">
        <v>10969</v>
      </c>
      <c r="E19" s="939">
        <v>29491</v>
      </c>
      <c r="F19" s="939">
        <v>31329</v>
      </c>
      <c r="G19" s="939">
        <f t="shared" si="2"/>
        <v>181327</v>
      </c>
      <c r="H19" s="939">
        <v>3638479</v>
      </c>
      <c r="I19" s="338"/>
      <c r="J19" s="252"/>
    </row>
    <row r="20" spans="1:10" ht="7.9" customHeight="1" x14ac:dyDescent="0.15">
      <c r="A20" s="175"/>
      <c r="B20" s="90"/>
      <c r="C20" s="90"/>
      <c r="D20" s="90"/>
      <c r="E20" s="90"/>
      <c r="F20" s="90"/>
      <c r="G20" s="90"/>
      <c r="H20" s="74"/>
      <c r="I20" s="338"/>
      <c r="J20" s="252"/>
    </row>
    <row r="21" spans="1:10" ht="7.9" customHeight="1" x14ac:dyDescent="0.15">
      <c r="A21" s="19" t="s">
        <v>56</v>
      </c>
      <c r="B21" s="89">
        <v>66097</v>
      </c>
      <c r="C21" s="89">
        <v>37792</v>
      </c>
      <c r="D21" s="89">
        <v>11658</v>
      </c>
      <c r="E21" s="89">
        <v>26387</v>
      </c>
      <c r="F21" s="89">
        <v>29556</v>
      </c>
      <c r="G21" s="49">
        <f t="shared" si="2"/>
        <v>171490</v>
      </c>
      <c r="H21" s="73">
        <v>3065173</v>
      </c>
      <c r="I21" s="338"/>
      <c r="J21" s="252"/>
    </row>
    <row r="22" spans="1:10" ht="7.9" customHeight="1" x14ac:dyDescent="0.15">
      <c r="A22" s="19" t="s">
        <v>810</v>
      </c>
      <c r="B22" s="89">
        <f>24852+11960</f>
        <v>36812</v>
      </c>
      <c r="C22" s="89">
        <f>15500+7976</f>
        <v>23476</v>
      </c>
      <c r="D22" s="89">
        <f>4234+1877</f>
        <v>6111</v>
      </c>
      <c r="E22" s="89">
        <f>10512+5262</f>
        <v>15774</v>
      </c>
      <c r="F22" s="89">
        <f>12010+5853</f>
        <v>17863</v>
      </c>
      <c r="G22" s="49">
        <f t="shared" si="2"/>
        <v>100036</v>
      </c>
      <c r="H22" s="73">
        <f>1129914+536628</f>
        <v>1666542</v>
      </c>
      <c r="I22" s="338"/>
      <c r="J22" s="252"/>
    </row>
    <row r="23" spans="1:10" ht="7.9" customHeight="1" x14ac:dyDescent="0.15">
      <c r="A23" s="19" t="s">
        <v>811</v>
      </c>
      <c r="B23" s="89">
        <v>16675</v>
      </c>
      <c r="C23" s="89">
        <v>12669</v>
      </c>
      <c r="D23" s="89">
        <v>2689</v>
      </c>
      <c r="E23" s="89">
        <v>8378</v>
      </c>
      <c r="F23" s="89">
        <v>8063</v>
      </c>
      <c r="G23" s="49">
        <f t="shared" si="2"/>
        <v>48474</v>
      </c>
      <c r="H23" s="73">
        <v>820034</v>
      </c>
      <c r="I23" s="338"/>
      <c r="J23" s="252"/>
    </row>
    <row r="24" spans="1:10" ht="7.9" customHeight="1" x14ac:dyDescent="0.15">
      <c r="A24" s="936" t="s">
        <v>393</v>
      </c>
      <c r="B24" s="939">
        <f>SUM(B22:B23)</f>
        <v>53487</v>
      </c>
      <c r="C24" s="939">
        <f t="shared" ref="C24:G24" si="5">SUM(C22:C23)</f>
        <v>36145</v>
      </c>
      <c r="D24" s="939">
        <f t="shared" si="5"/>
        <v>8800</v>
      </c>
      <c r="E24" s="939">
        <f t="shared" si="5"/>
        <v>24152</v>
      </c>
      <c r="F24" s="939">
        <f t="shared" si="5"/>
        <v>25926</v>
      </c>
      <c r="G24" s="939">
        <f t="shared" si="5"/>
        <v>148510</v>
      </c>
      <c r="H24" s="939">
        <f>SUM(H22:H23)</f>
        <v>2486576</v>
      </c>
      <c r="I24" s="338"/>
      <c r="J24" s="253"/>
    </row>
    <row r="25" spans="1:10" ht="7.9" customHeight="1" thickBot="1" x14ac:dyDescent="0.2">
      <c r="A25" s="1008"/>
      <c r="B25" s="1009"/>
      <c r="C25" s="1009"/>
      <c r="D25" s="1009"/>
      <c r="E25" s="1009"/>
      <c r="F25" s="1009"/>
      <c r="G25" s="1010"/>
      <c r="H25" s="1009"/>
      <c r="I25" s="266"/>
    </row>
    <row r="26" spans="1:10" ht="7.9" customHeight="1" thickTop="1" x14ac:dyDescent="0.15">
      <c r="A26" s="183" t="s">
        <v>128</v>
      </c>
    </row>
    <row r="27" spans="1:10" ht="7.9" customHeight="1" x14ac:dyDescent="0.15">
      <c r="A27" s="85" t="s">
        <v>373</v>
      </c>
    </row>
    <row r="28" spans="1:10" ht="7.9" customHeight="1" x14ac:dyDescent="0.15">
      <c r="A28" s="30" t="s">
        <v>882</v>
      </c>
    </row>
    <row r="29" spans="1:10" ht="9.9499999999999993" customHeight="1" x14ac:dyDescent="0.15">
      <c r="A29" s="61"/>
    </row>
    <row r="31" spans="1:10" ht="9.9499999999999993" customHeight="1" x14ac:dyDescent="0.2">
      <c r="A31" s="468"/>
      <c r="H31" s="63"/>
    </row>
    <row r="32" spans="1:10" ht="9.9499999999999993" customHeight="1" x14ac:dyDescent="0.15">
      <c r="H32" s="63"/>
    </row>
    <row r="33" spans="8:8" ht="9.9499999999999993" customHeight="1" x14ac:dyDescent="0.15">
      <c r="H33" s="63"/>
    </row>
    <row r="34" spans="8:8" ht="9.9499999999999993" customHeight="1" x14ac:dyDescent="0.15">
      <c r="H34" s="62"/>
    </row>
    <row r="35" spans="8:8" ht="9.9499999999999993" customHeight="1" x14ac:dyDescent="0.15">
      <c r="H35" s="63"/>
    </row>
    <row r="36" spans="8:8" ht="9.9499999999999993" customHeight="1" x14ac:dyDescent="0.15">
      <c r="H36" s="63"/>
    </row>
    <row r="37" spans="8:8" ht="9.9499999999999993" customHeight="1" x14ac:dyDescent="0.15">
      <c r="H37" s="63"/>
    </row>
    <row r="38" spans="8:8" ht="9.9499999999999993" customHeight="1" x14ac:dyDescent="0.15">
      <c r="H38" s="62"/>
    </row>
    <row r="39" spans="8:8" ht="9.9499999999999993" customHeight="1" x14ac:dyDescent="0.15">
      <c r="H39" s="63"/>
    </row>
    <row r="40" spans="8:8" ht="9.9499999999999993" customHeight="1" x14ac:dyDescent="0.15">
      <c r="H40" s="63"/>
    </row>
    <row r="41" spans="8:8" ht="9.9499999999999993" customHeight="1" x14ac:dyDescent="0.15">
      <c r="H41" s="63"/>
    </row>
    <row r="42" spans="8:8" ht="9.9499999999999993" customHeight="1" x14ac:dyDescent="0.15">
      <c r="H42" s="63"/>
    </row>
    <row r="43" spans="8:8" ht="9.9499999999999993" customHeight="1" x14ac:dyDescent="0.15">
      <c r="H43" s="63"/>
    </row>
    <row r="44" spans="8:8" ht="9.9499999999999993" customHeight="1" x14ac:dyDescent="0.15">
      <c r="H44" s="63"/>
    </row>
    <row r="45" spans="8:8" ht="9.9499999999999993" customHeight="1" x14ac:dyDescent="0.15">
      <c r="H45" s="63"/>
    </row>
    <row r="46" spans="8:8" ht="9.9499999999999993" customHeight="1" x14ac:dyDescent="0.15">
      <c r="H46" s="62"/>
    </row>
    <row r="47" spans="8:8" ht="9.9499999999999993" customHeight="1" x14ac:dyDescent="0.15">
      <c r="H47"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R32"/>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10.28515625" style="54" bestFit="1" customWidth="1"/>
    <col min="9" max="9" width="6.7109375" style="259" customWidth="1"/>
    <col min="10" max="10" width="34" style="241" customWidth="1"/>
    <col min="11" max="11" width="24.140625" style="241" customWidth="1"/>
    <col min="12" max="12" width="11.42578125" style="241" customWidth="1"/>
    <col min="13" max="16384" width="11.42578125" style="53"/>
  </cols>
  <sheetData>
    <row r="1" spans="1:18" ht="15" customHeight="1" x14ac:dyDescent="0.15">
      <c r="A1" s="1019" t="s">
        <v>129</v>
      </c>
      <c r="B1" s="1019"/>
      <c r="C1" s="1019"/>
      <c r="D1" s="1019"/>
      <c r="E1" s="1019"/>
      <c r="F1" s="1019"/>
      <c r="G1" s="1019"/>
      <c r="H1" s="1019"/>
    </row>
    <row r="2" spans="1:18" ht="9.9499999999999993" customHeight="1" x14ac:dyDescent="0.15">
      <c r="A2" s="1021" t="s">
        <v>809</v>
      </c>
      <c r="B2" s="1021"/>
      <c r="C2" s="1021"/>
      <c r="D2" s="1021"/>
      <c r="E2" s="1021"/>
      <c r="F2" s="1021"/>
      <c r="G2" s="1021"/>
      <c r="H2" s="1021"/>
      <c r="L2" s="254"/>
      <c r="M2" s="80"/>
      <c r="N2" s="80"/>
      <c r="O2" s="80"/>
      <c r="P2" s="80"/>
      <c r="Q2" s="80"/>
      <c r="R2" s="80"/>
    </row>
    <row r="3" spans="1:18" ht="7.9" customHeight="1" x14ac:dyDescent="0.15">
      <c r="A3" s="56"/>
      <c r="B3" s="57"/>
      <c r="L3" s="254"/>
      <c r="M3" s="80"/>
      <c r="N3" s="80"/>
      <c r="O3" s="80"/>
      <c r="P3" s="80"/>
      <c r="Q3" s="80"/>
      <c r="R3" s="80"/>
    </row>
    <row r="4" spans="1:18" ht="20.100000000000001" customHeight="1" x14ac:dyDescent="0.15">
      <c r="A4" s="58"/>
      <c r="B4" s="22" t="s">
        <v>374</v>
      </c>
      <c r="C4" s="22" t="s">
        <v>384</v>
      </c>
      <c r="D4" s="22" t="s">
        <v>376</v>
      </c>
      <c r="E4" s="22" t="s">
        <v>377</v>
      </c>
      <c r="F4" s="22" t="s">
        <v>378</v>
      </c>
      <c r="G4" s="23" t="s">
        <v>385</v>
      </c>
      <c r="H4" s="59" t="s">
        <v>380</v>
      </c>
      <c r="L4" s="254"/>
      <c r="M4" s="80"/>
      <c r="N4" s="80"/>
      <c r="O4" s="80"/>
      <c r="P4" s="80"/>
      <c r="Q4" s="80"/>
      <c r="R4" s="80"/>
    </row>
    <row r="5" spans="1:18" ht="7.9" customHeight="1" x14ac:dyDescent="0.15">
      <c r="A5" s="78"/>
      <c r="B5" s="74"/>
      <c r="C5" s="74"/>
      <c r="D5" s="74"/>
      <c r="E5" s="74"/>
      <c r="F5" s="74"/>
      <c r="G5" s="74"/>
      <c r="H5" s="74"/>
      <c r="L5" s="254"/>
      <c r="M5" s="80"/>
      <c r="N5" s="80"/>
      <c r="O5" s="80"/>
      <c r="P5" s="80"/>
      <c r="Q5" s="80"/>
      <c r="R5" s="80"/>
    </row>
    <row r="6" spans="1:18" ht="7.9" customHeight="1" x14ac:dyDescent="0.15">
      <c r="A6" s="936" t="s">
        <v>422</v>
      </c>
      <c r="B6" s="939">
        <v>25280</v>
      </c>
      <c r="C6" s="939">
        <v>16400</v>
      </c>
      <c r="D6" s="939">
        <v>4080</v>
      </c>
      <c r="E6" s="939">
        <v>11270</v>
      </c>
      <c r="F6" s="939">
        <v>11450</v>
      </c>
      <c r="G6" s="939">
        <v>68480</v>
      </c>
      <c r="H6" s="939">
        <v>1240190</v>
      </c>
      <c r="I6" s="262"/>
      <c r="J6" s="325"/>
      <c r="L6" s="254"/>
      <c r="M6" s="80"/>
      <c r="N6" s="80"/>
      <c r="O6" s="80"/>
      <c r="P6" s="80"/>
      <c r="Q6" s="80"/>
      <c r="R6" s="80"/>
    </row>
    <row r="7" spans="1:18" ht="7.9" customHeight="1" x14ac:dyDescent="0.15">
      <c r="A7" s="128" t="s">
        <v>363</v>
      </c>
      <c r="B7" s="25">
        <v>2200</v>
      </c>
      <c r="C7" s="25">
        <v>1740</v>
      </c>
      <c r="D7" s="25">
        <v>390</v>
      </c>
      <c r="E7" s="25">
        <v>1230</v>
      </c>
      <c r="F7" s="25">
        <v>1140</v>
      </c>
      <c r="G7" s="81">
        <v>6700</v>
      </c>
      <c r="H7" s="25">
        <v>93560</v>
      </c>
      <c r="I7" s="262"/>
      <c r="J7" s="325"/>
      <c r="L7" s="255"/>
      <c r="M7" s="82"/>
      <c r="N7" s="82"/>
      <c r="O7" s="82"/>
      <c r="P7" s="83"/>
      <c r="Q7" s="83"/>
      <c r="R7" s="83"/>
    </row>
    <row r="8" spans="1:18" ht="7.9" customHeight="1" x14ac:dyDescent="0.15">
      <c r="A8" s="128" t="s">
        <v>364</v>
      </c>
      <c r="B8" s="25">
        <v>16250</v>
      </c>
      <c r="C8" s="25">
        <v>10090</v>
      </c>
      <c r="D8" s="25">
        <v>2530</v>
      </c>
      <c r="E8" s="25">
        <v>6900</v>
      </c>
      <c r="F8" s="25">
        <v>6700</v>
      </c>
      <c r="G8" s="81">
        <v>42480</v>
      </c>
      <c r="H8" s="25">
        <v>764740</v>
      </c>
      <c r="I8" s="262"/>
      <c r="J8" s="325"/>
      <c r="L8" s="256"/>
      <c r="M8" s="84"/>
      <c r="N8" s="84"/>
      <c r="O8" s="84"/>
      <c r="P8" s="67"/>
      <c r="Q8" s="67"/>
      <c r="R8" s="67"/>
    </row>
    <row r="9" spans="1:18" ht="7.9" customHeight="1" x14ac:dyDescent="0.15">
      <c r="A9" s="128" t="s">
        <v>365</v>
      </c>
      <c r="B9" s="25">
        <v>6840</v>
      </c>
      <c r="C9" s="25">
        <v>4570</v>
      </c>
      <c r="D9" s="25">
        <v>1160</v>
      </c>
      <c r="E9" s="25">
        <v>3130</v>
      </c>
      <c r="F9" s="25">
        <v>3610</v>
      </c>
      <c r="G9" s="81">
        <v>19300</v>
      </c>
      <c r="H9" s="25">
        <v>381890</v>
      </c>
      <c r="I9" s="262"/>
      <c r="J9" s="325"/>
      <c r="L9" s="256"/>
      <c r="M9" s="84"/>
      <c r="N9" s="84"/>
      <c r="O9" s="84"/>
      <c r="P9" s="67"/>
      <c r="Q9" s="67"/>
      <c r="R9" s="67"/>
    </row>
    <row r="10" spans="1:18" ht="7.9" customHeight="1" x14ac:dyDescent="0.15">
      <c r="A10" s="936" t="s">
        <v>423</v>
      </c>
      <c r="B10" s="939">
        <v>28200</v>
      </c>
      <c r="C10" s="939">
        <v>19750</v>
      </c>
      <c r="D10" s="939">
        <v>4720</v>
      </c>
      <c r="E10" s="939">
        <v>12880</v>
      </c>
      <c r="F10" s="939">
        <v>14480</v>
      </c>
      <c r="G10" s="939">
        <v>80030</v>
      </c>
      <c r="H10" s="939">
        <v>1246380</v>
      </c>
      <c r="I10" s="262"/>
      <c r="J10" s="325"/>
      <c r="K10" s="257"/>
      <c r="L10" s="256"/>
      <c r="M10" s="84"/>
      <c r="N10" s="84"/>
      <c r="O10" s="84"/>
      <c r="P10" s="67"/>
      <c r="Q10" s="67"/>
      <c r="R10" s="67"/>
    </row>
    <row r="11" spans="1:18" ht="7.9" customHeight="1" x14ac:dyDescent="0.15">
      <c r="A11" s="128" t="s">
        <v>363</v>
      </c>
      <c r="B11" s="25">
        <v>2460</v>
      </c>
      <c r="C11" s="25">
        <v>1870</v>
      </c>
      <c r="D11" s="25">
        <v>470</v>
      </c>
      <c r="E11" s="25">
        <v>1250</v>
      </c>
      <c r="F11" s="25">
        <v>1330</v>
      </c>
      <c r="G11" s="81">
        <v>7380</v>
      </c>
      <c r="H11" s="469">
        <v>87410</v>
      </c>
      <c r="I11" s="262"/>
      <c r="J11" s="325"/>
      <c r="K11" s="257"/>
      <c r="L11" s="256"/>
      <c r="M11" s="84"/>
      <c r="N11" s="84"/>
      <c r="O11" s="84"/>
      <c r="P11" s="67"/>
      <c r="Q11" s="67"/>
      <c r="R11" s="67"/>
    </row>
    <row r="12" spans="1:18" ht="7.9" customHeight="1" x14ac:dyDescent="0.15">
      <c r="A12" s="128" t="s">
        <v>364</v>
      </c>
      <c r="B12" s="25">
        <v>17400</v>
      </c>
      <c r="C12" s="25">
        <v>11530</v>
      </c>
      <c r="D12" s="25">
        <v>2770</v>
      </c>
      <c r="E12" s="25">
        <v>7630</v>
      </c>
      <c r="F12" s="25">
        <v>7940</v>
      </c>
      <c r="G12" s="81">
        <v>47270</v>
      </c>
      <c r="H12" s="469">
        <v>742320</v>
      </c>
      <c r="I12" s="262"/>
      <c r="J12" s="325"/>
      <c r="K12" s="257"/>
      <c r="L12" s="256"/>
      <c r="M12" s="84"/>
      <c r="N12" s="84"/>
      <c r="O12" s="84"/>
      <c r="P12" s="67"/>
      <c r="Q12" s="67"/>
      <c r="R12" s="67"/>
    </row>
    <row r="13" spans="1:18" ht="7.9" customHeight="1" x14ac:dyDescent="0.15">
      <c r="A13" s="128" t="s">
        <v>365</v>
      </c>
      <c r="B13" s="25">
        <v>8340</v>
      </c>
      <c r="C13" s="25">
        <v>6350</v>
      </c>
      <c r="D13" s="25">
        <v>1480</v>
      </c>
      <c r="E13" s="25">
        <v>4000</v>
      </c>
      <c r="F13" s="25">
        <v>5210</v>
      </c>
      <c r="G13" s="81">
        <v>25370</v>
      </c>
      <c r="H13" s="469">
        <v>416660</v>
      </c>
      <c r="I13" s="262"/>
      <c r="J13" s="325"/>
      <c r="K13" s="257"/>
      <c r="L13" s="256"/>
      <c r="M13" s="84"/>
      <c r="N13" s="84"/>
      <c r="O13" s="84"/>
      <c r="P13" s="67"/>
      <c r="Q13" s="67"/>
      <c r="R13" s="67"/>
    </row>
    <row r="14" spans="1:18" ht="7.9" customHeight="1" x14ac:dyDescent="0.15">
      <c r="A14" s="936" t="s">
        <v>435</v>
      </c>
      <c r="B14" s="939">
        <v>53490</v>
      </c>
      <c r="C14" s="939">
        <v>36150</v>
      </c>
      <c r="D14" s="939">
        <v>8800</v>
      </c>
      <c r="E14" s="939">
        <v>24150</v>
      </c>
      <c r="F14" s="939">
        <v>25930</v>
      </c>
      <c r="G14" s="939">
        <v>148510</v>
      </c>
      <c r="H14" s="939">
        <v>2486580</v>
      </c>
      <c r="I14" s="262"/>
      <c r="J14" s="325"/>
      <c r="K14" s="257"/>
      <c r="L14" s="256"/>
      <c r="M14" s="84"/>
      <c r="N14" s="84"/>
      <c r="O14" s="84"/>
      <c r="P14" s="67"/>
      <c r="Q14" s="67"/>
      <c r="R14" s="67"/>
    </row>
    <row r="15" spans="1:18" ht="7.9" customHeight="1" x14ac:dyDescent="0.15">
      <c r="A15" s="128" t="s">
        <v>363</v>
      </c>
      <c r="B15" s="48">
        <v>4660</v>
      </c>
      <c r="C15" s="48">
        <v>3600</v>
      </c>
      <c r="D15" s="48">
        <v>860</v>
      </c>
      <c r="E15" s="48">
        <v>2490</v>
      </c>
      <c r="F15" s="48">
        <v>2470</v>
      </c>
      <c r="G15" s="49">
        <v>14090</v>
      </c>
      <c r="H15" s="48">
        <v>180970</v>
      </c>
      <c r="I15" s="262"/>
      <c r="J15" s="325"/>
      <c r="K15" s="257"/>
      <c r="L15" s="256"/>
      <c r="M15" s="84"/>
      <c r="N15" s="84"/>
      <c r="O15" s="84"/>
      <c r="P15" s="67"/>
      <c r="Q15" s="67"/>
      <c r="R15" s="67"/>
    </row>
    <row r="16" spans="1:18" ht="7.9" customHeight="1" x14ac:dyDescent="0.15">
      <c r="A16" s="128" t="s">
        <v>364</v>
      </c>
      <c r="B16" s="48">
        <v>33660</v>
      </c>
      <c r="C16" s="48">
        <v>21620</v>
      </c>
      <c r="D16" s="48">
        <v>5300</v>
      </c>
      <c r="E16" s="48">
        <v>14530</v>
      </c>
      <c r="F16" s="48">
        <v>14630</v>
      </c>
      <c r="G16" s="49">
        <v>89750</v>
      </c>
      <c r="H16" s="48">
        <v>1507060</v>
      </c>
      <c r="I16" s="262"/>
      <c r="J16" s="325"/>
      <c r="K16" s="257"/>
      <c r="L16" s="256"/>
      <c r="M16" s="84"/>
      <c r="N16" s="84"/>
      <c r="O16" s="84"/>
      <c r="P16" s="67"/>
      <c r="Q16" s="67"/>
      <c r="R16" s="67"/>
    </row>
    <row r="17" spans="1:10" ht="7.9" customHeight="1" x14ac:dyDescent="0.15">
      <c r="A17" s="128" t="s">
        <v>365</v>
      </c>
      <c r="B17" s="48">
        <v>15170</v>
      </c>
      <c r="C17" s="48">
        <v>10920</v>
      </c>
      <c r="D17" s="48">
        <v>2630</v>
      </c>
      <c r="E17" s="48">
        <v>7130</v>
      </c>
      <c r="F17" s="48">
        <v>8820</v>
      </c>
      <c r="G17" s="49">
        <v>44680</v>
      </c>
      <c r="H17" s="48">
        <v>798540</v>
      </c>
      <c r="I17" s="262"/>
      <c r="J17" s="325"/>
    </row>
    <row r="18" spans="1:10" ht="7.9" customHeight="1" thickBot="1" x14ac:dyDescent="0.2">
      <c r="A18" s="1008"/>
      <c r="B18" s="1009"/>
      <c r="C18" s="1009"/>
      <c r="D18" s="1009"/>
      <c r="E18" s="1009"/>
      <c r="F18" s="1009"/>
      <c r="G18" s="1010"/>
      <c r="H18" s="1009"/>
      <c r="J18" s="325"/>
    </row>
    <row r="19" spans="1:10" ht="7.9" customHeight="1" thickTop="1" x14ac:dyDescent="0.15">
      <c r="A19" s="183" t="s">
        <v>906</v>
      </c>
      <c r="B19" s="84"/>
      <c r="C19" s="84"/>
      <c r="D19" s="84"/>
      <c r="E19" s="84"/>
      <c r="F19" s="67"/>
      <c r="G19" s="67"/>
      <c r="H19" s="67"/>
    </row>
    <row r="20" spans="1:10" ht="7.9" customHeight="1" x14ac:dyDescent="0.15">
      <c r="A20" s="85" t="s">
        <v>373</v>
      </c>
    </row>
    <row r="21" spans="1:10" ht="7.9" customHeight="1" x14ac:dyDescent="0.15">
      <c r="A21" s="53" t="s">
        <v>907</v>
      </c>
    </row>
    <row r="22" spans="1:10" ht="7.9" customHeight="1" x14ac:dyDescent="0.15">
      <c r="H22" s="63"/>
    </row>
    <row r="23" spans="1:10" ht="7.9" customHeight="1" x14ac:dyDescent="0.15">
      <c r="H23" s="62"/>
    </row>
    <row r="24" spans="1:10" ht="7.9" customHeight="1" x14ac:dyDescent="0.15">
      <c r="H24" s="63"/>
    </row>
    <row r="25" spans="1:10" ht="7.9" customHeight="1" x14ac:dyDescent="0.15">
      <c r="H25" s="63"/>
    </row>
    <row r="26" spans="1:10" ht="7.9" customHeight="1" x14ac:dyDescent="0.15">
      <c r="H26" s="63"/>
    </row>
    <row r="27" spans="1:10" ht="7.9" customHeight="1" x14ac:dyDescent="0.15">
      <c r="H27" s="63"/>
    </row>
    <row r="28" spans="1:10" ht="7.9" customHeight="1" x14ac:dyDescent="0.15">
      <c r="H28" s="63"/>
    </row>
    <row r="29" spans="1:10" ht="7.9" customHeight="1" x14ac:dyDescent="0.15">
      <c r="H29" s="63"/>
    </row>
    <row r="30" spans="1:10" ht="7.9" customHeight="1" x14ac:dyDescent="0.15">
      <c r="H30" s="63"/>
    </row>
    <row r="31" spans="1:10" ht="7.9" customHeight="1" x14ac:dyDescent="0.15">
      <c r="H31" s="62"/>
    </row>
    <row r="32" spans="1:10" ht="9.9499999999999993" customHeight="1" x14ac:dyDescent="0.15">
      <c r="H32"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L46"/>
  <sheetViews>
    <sheetView zoomScale="140" zoomScaleNormal="140" workbookViewId="0">
      <selection sqref="A1:H1"/>
    </sheetView>
  </sheetViews>
  <sheetFormatPr baseColWidth="10" defaultRowHeight="9.9499999999999993" customHeight="1" x14ac:dyDescent="0.15"/>
  <cols>
    <col min="1" max="1" width="24.5703125" style="53" customWidth="1"/>
    <col min="2" max="2" width="6.7109375" style="53" customWidth="1"/>
    <col min="3" max="3" width="6.140625" style="53" bestFit="1" customWidth="1"/>
    <col min="4" max="4" width="6.42578125" style="53" bestFit="1" customWidth="1"/>
    <col min="5" max="5" width="6.42578125" style="53" customWidth="1"/>
    <col min="6" max="6" width="6.7109375" style="53" customWidth="1"/>
    <col min="7" max="7" width="6.85546875" style="53" customWidth="1"/>
    <col min="8" max="8" width="9.5703125" style="54" bestFit="1" customWidth="1"/>
    <col min="9" max="9" width="6.7109375" style="259" customWidth="1"/>
    <col min="10" max="10" width="34" style="241" customWidth="1"/>
    <col min="11" max="11" width="24.140625" style="241" customWidth="1"/>
    <col min="12" max="12" width="11.42578125" style="241" customWidth="1"/>
    <col min="13" max="16384" width="11.42578125" style="53"/>
  </cols>
  <sheetData>
    <row r="1" spans="1:10" ht="15" customHeight="1" x14ac:dyDescent="0.15">
      <c r="A1" s="1019" t="s">
        <v>369</v>
      </c>
      <c r="B1" s="1019"/>
      <c r="C1" s="1019"/>
      <c r="D1" s="1019"/>
      <c r="E1" s="1019"/>
      <c r="F1" s="1019"/>
      <c r="G1" s="1019"/>
      <c r="H1" s="1019"/>
    </row>
    <row r="2" spans="1:10" ht="9.9499999999999993" customHeight="1" x14ac:dyDescent="0.15">
      <c r="A2" s="1021" t="s">
        <v>813</v>
      </c>
      <c r="B2" s="1021"/>
      <c r="C2" s="1021"/>
      <c r="D2" s="1021"/>
      <c r="E2" s="1021"/>
      <c r="F2" s="1021"/>
      <c r="G2" s="1021"/>
      <c r="H2" s="1021"/>
    </row>
    <row r="3" spans="1:10" ht="7.9" customHeight="1" x14ac:dyDescent="0.15">
      <c r="A3" s="56"/>
      <c r="B3" s="57"/>
    </row>
    <row r="4" spans="1:10" ht="20.100000000000001" customHeight="1" x14ac:dyDescent="0.15">
      <c r="A4" s="58"/>
      <c r="B4" s="22" t="s">
        <v>374</v>
      </c>
      <c r="C4" s="22" t="s">
        <v>384</v>
      </c>
      <c r="D4" s="22" t="s">
        <v>376</v>
      </c>
      <c r="E4" s="22" t="s">
        <v>377</v>
      </c>
      <c r="F4" s="22" t="s">
        <v>378</v>
      </c>
      <c r="G4" s="23" t="s">
        <v>385</v>
      </c>
      <c r="H4" s="88" t="s">
        <v>380</v>
      </c>
      <c r="J4" s="173"/>
    </row>
    <row r="5" spans="1:10" ht="7.9" customHeight="1" x14ac:dyDescent="0.15">
      <c r="A5" s="56"/>
      <c r="B5" s="57"/>
    </row>
    <row r="6" spans="1:10" ht="7.9" customHeight="1" x14ac:dyDescent="0.15">
      <c r="A6" s="929" t="s">
        <v>510</v>
      </c>
      <c r="B6" s="939">
        <f t="shared" ref="B6:H6" si="0">SUM(B7:B14)</f>
        <v>125929</v>
      </c>
      <c r="C6" s="939">
        <f t="shared" si="0"/>
        <v>69417</v>
      </c>
      <c r="D6" s="939">
        <f t="shared" si="0"/>
        <v>23205</v>
      </c>
      <c r="E6" s="939">
        <f t="shared" si="0"/>
        <v>49834</v>
      </c>
      <c r="F6" s="939">
        <f t="shared" si="0"/>
        <v>52488</v>
      </c>
      <c r="G6" s="939">
        <f t="shared" si="0"/>
        <v>320873</v>
      </c>
      <c r="H6" s="939">
        <f t="shared" si="0"/>
        <v>6007345</v>
      </c>
      <c r="I6" s="676"/>
      <c r="J6" s="338"/>
    </row>
    <row r="7" spans="1:10" ht="7.9" customHeight="1" x14ac:dyDescent="0.15">
      <c r="A7" s="92" t="s">
        <v>30</v>
      </c>
      <c r="B7" s="409">
        <v>29656</v>
      </c>
      <c r="C7" s="409">
        <v>16436</v>
      </c>
      <c r="D7" s="409">
        <v>5834</v>
      </c>
      <c r="E7" s="409">
        <v>10469</v>
      </c>
      <c r="F7" s="409">
        <v>15299</v>
      </c>
      <c r="G7" s="90">
        <f t="shared" ref="G7:G14" si="1">SUM(B7:F7)</f>
        <v>77694</v>
      </c>
      <c r="H7" s="409">
        <v>1376504</v>
      </c>
      <c r="I7" s="676"/>
      <c r="J7" s="332"/>
    </row>
    <row r="8" spans="1:10" ht="7.9" customHeight="1" x14ac:dyDescent="0.15">
      <c r="A8" s="19" t="s">
        <v>31</v>
      </c>
      <c r="B8" s="409">
        <v>7988</v>
      </c>
      <c r="C8" s="409">
        <v>3973</v>
      </c>
      <c r="D8" s="409">
        <v>1965</v>
      </c>
      <c r="E8" s="409">
        <v>3387</v>
      </c>
      <c r="F8" s="409">
        <v>3737</v>
      </c>
      <c r="G8" s="90">
        <f t="shared" si="1"/>
        <v>21050</v>
      </c>
      <c r="H8" s="409">
        <v>324635</v>
      </c>
      <c r="I8" s="676"/>
      <c r="J8" s="332"/>
    </row>
    <row r="9" spans="1:10" ht="7.9" customHeight="1" x14ac:dyDescent="0.15">
      <c r="A9" s="19" t="s">
        <v>32</v>
      </c>
      <c r="B9" s="80">
        <v>2720</v>
      </c>
      <c r="C9" s="80">
        <v>1765</v>
      </c>
      <c r="D9" s="80">
        <v>493</v>
      </c>
      <c r="E9" s="80">
        <v>1258</v>
      </c>
      <c r="F9" s="80">
        <v>1220</v>
      </c>
      <c r="G9" s="90">
        <f t="shared" si="1"/>
        <v>7456</v>
      </c>
      <c r="H9" s="80">
        <v>157502</v>
      </c>
      <c r="I9" s="676"/>
      <c r="J9" s="332"/>
    </row>
    <row r="10" spans="1:10" ht="7.9" customHeight="1" x14ac:dyDescent="0.15">
      <c r="A10" s="19" t="s">
        <v>366</v>
      </c>
      <c r="B10" s="409">
        <v>8345</v>
      </c>
      <c r="C10" s="409">
        <v>4281</v>
      </c>
      <c r="D10" s="409">
        <v>1471</v>
      </c>
      <c r="E10" s="409">
        <v>3191</v>
      </c>
      <c r="F10" s="409">
        <v>3488</v>
      </c>
      <c r="G10" s="90">
        <f t="shared" si="1"/>
        <v>20776</v>
      </c>
      <c r="H10" s="409">
        <v>465791</v>
      </c>
      <c r="I10" s="676"/>
      <c r="J10" s="332"/>
    </row>
    <row r="11" spans="1:10" ht="7.9" customHeight="1" x14ac:dyDescent="0.15">
      <c r="A11" s="19" t="s">
        <v>33</v>
      </c>
      <c r="B11" s="409">
        <v>3839</v>
      </c>
      <c r="C11" s="409">
        <v>1682</v>
      </c>
      <c r="D11" s="409">
        <v>582</v>
      </c>
      <c r="E11" s="409">
        <v>1057</v>
      </c>
      <c r="F11" s="409">
        <v>1531</v>
      </c>
      <c r="G11" s="90">
        <f t="shared" si="1"/>
        <v>8691</v>
      </c>
      <c r="H11" s="409">
        <v>151230</v>
      </c>
      <c r="I11" s="676"/>
      <c r="J11" s="332"/>
    </row>
    <row r="12" spans="1:10" ht="7.9" customHeight="1" x14ac:dyDescent="0.15">
      <c r="A12" s="19" t="s">
        <v>34</v>
      </c>
      <c r="B12" s="409">
        <v>7890</v>
      </c>
      <c r="C12" s="409">
        <v>4114</v>
      </c>
      <c r="D12" s="409">
        <v>1076</v>
      </c>
      <c r="E12" s="409">
        <v>3533</v>
      </c>
      <c r="F12" s="409">
        <v>2130</v>
      </c>
      <c r="G12" s="90">
        <f t="shared" si="1"/>
        <v>18743</v>
      </c>
      <c r="H12" s="409">
        <v>418027</v>
      </c>
      <c r="I12" s="676"/>
      <c r="J12" s="332"/>
    </row>
    <row r="13" spans="1:10" ht="7.9" customHeight="1" x14ac:dyDescent="0.15">
      <c r="A13" s="19" t="s">
        <v>35</v>
      </c>
      <c r="B13" s="409">
        <v>11202</v>
      </c>
      <c r="C13" s="409">
        <v>6986</v>
      </c>
      <c r="D13" s="409">
        <v>2254</v>
      </c>
      <c r="E13" s="409">
        <v>4913</v>
      </c>
      <c r="F13" s="409">
        <v>4818</v>
      </c>
      <c r="G13" s="90">
        <f t="shared" si="1"/>
        <v>30173</v>
      </c>
      <c r="H13" s="409">
        <v>502674</v>
      </c>
      <c r="I13" s="676"/>
      <c r="J13" s="332"/>
    </row>
    <row r="14" spans="1:10" ht="7.9" customHeight="1" x14ac:dyDescent="0.15">
      <c r="A14" s="19" t="s">
        <v>367</v>
      </c>
      <c r="B14" s="409">
        <v>54289</v>
      </c>
      <c r="C14" s="409">
        <v>30180</v>
      </c>
      <c r="D14" s="409">
        <v>9530</v>
      </c>
      <c r="E14" s="409">
        <v>22026</v>
      </c>
      <c r="F14" s="409">
        <v>20265</v>
      </c>
      <c r="G14" s="90">
        <f t="shared" si="1"/>
        <v>136290</v>
      </c>
      <c r="H14" s="409">
        <v>2610982</v>
      </c>
      <c r="I14" s="676"/>
      <c r="J14" s="332"/>
    </row>
    <row r="15" spans="1:10" ht="7.9" customHeight="1" x14ac:dyDescent="0.15">
      <c r="A15" s="19"/>
      <c r="B15" s="89"/>
      <c r="C15" s="89"/>
      <c r="D15" s="89"/>
      <c r="E15" s="89"/>
      <c r="F15" s="89"/>
      <c r="G15" s="90"/>
      <c r="H15" s="73"/>
      <c r="I15" s="676"/>
      <c r="J15" s="332"/>
    </row>
    <row r="16" spans="1:10" ht="7.9" customHeight="1" x14ac:dyDescent="0.15">
      <c r="A16" s="929" t="s">
        <v>511</v>
      </c>
      <c r="B16" s="939">
        <f t="shared" ref="B16:H16" si="2">SUM(B17:B19) + SUM(B21:B23)</f>
        <v>118931</v>
      </c>
      <c r="C16" s="939">
        <f t="shared" si="2"/>
        <v>65390</v>
      </c>
      <c r="D16" s="939">
        <f t="shared" si="2"/>
        <v>21906</v>
      </c>
      <c r="E16" s="939">
        <f t="shared" si="2"/>
        <v>47587</v>
      </c>
      <c r="F16" s="939">
        <f t="shared" si="2"/>
        <v>49759</v>
      </c>
      <c r="G16" s="939">
        <f t="shared" si="2"/>
        <v>303573</v>
      </c>
      <c r="H16" s="939">
        <f t="shared" si="2"/>
        <v>5712501</v>
      </c>
      <c r="I16" s="676"/>
      <c r="J16" s="332"/>
    </row>
    <row r="17" spans="1:10" ht="7.9" customHeight="1" x14ac:dyDescent="0.15">
      <c r="A17" s="19" t="s">
        <v>36</v>
      </c>
      <c r="B17" s="409">
        <v>25386</v>
      </c>
      <c r="C17" s="409">
        <v>12796</v>
      </c>
      <c r="D17" s="409">
        <v>4664</v>
      </c>
      <c r="E17" s="409">
        <v>8752</v>
      </c>
      <c r="F17" s="409">
        <v>12329</v>
      </c>
      <c r="G17" s="90">
        <f t="shared" ref="G17:G23" si="3">SUM(B17:F17)</f>
        <v>63927</v>
      </c>
      <c r="H17" s="409">
        <v>1130316</v>
      </c>
      <c r="I17" s="676"/>
      <c r="J17" s="332"/>
    </row>
    <row r="18" spans="1:10" ht="7.9" customHeight="1" x14ac:dyDescent="0.15">
      <c r="A18" s="19" t="s">
        <v>37</v>
      </c>
      <c r="B18" s="409">
        <v>10041</v>
      </c>
      <c r="C18" s="409">
        <v>6551</v>
      </c>
      <c r="D18" s="409">
        <v>2377</v>
      </c>
      <c r="E18" s="409">
        <v>4632</v>
      </c>
      <c r="F18" s="409">
        <v>4387</v>
      </c>
      <c r="G18" s="90">
        <f t="shared" si="3"/>
        <v>27988</v>
      </c>
      <c r="H18" s="409">
        <v>537955</v>
      </c>
      <c r="I18" s="676"/>
      <c r="J18" s="332"/>
    </row>
    <row r="19" spans="1:10" ht="7.9" customHeight="1" x14ac:dyDescent="0.15">
      <c r="A19" s="19" t="s">
        <v>368</v>
      </c>
      <c r="B19" s="409">
        <v>10417</v>
      </c>
      <c r="C19" s="409">
        <v>6520</v>
      </c>
      <c r="D19" s="409">
        <v>2111</v>
      </c>
      <c r="E19" s="409">
        <v>4285</v>
      </c>
      <c r="F19" s="409">
        <v>5528</v>
      </c>
      <c r="G19" s="90">
        <f t="shared" si="3"/>
        <v>28861</v>
      </c>
      <c r="H19" s="409">
        <v>442087</v>
      </c>
      <c r="I19" s="676"/>
      <c r="J19" s="332"/>
    </row>
    <row r="20" spans="1:10" ht="7.9" customHeight="1" x14ac:dyDescent="0.15">
      <c r="A20" s="93" t="s">
        <v>38</v>
      </c>
      <c r="B20" s="470">
        <v>6501</v>
      </c>
      <c r="C20" s="470">
        <v>4116</v>
      </c>
      <c r="D20" s="470">
        <v>1326</v>
      </c>
      <c r="E20" s="470">
        <v>2719</v>
      </c>
      <c r="F20" s="470">
        <v>3173</v>
      </c>
      <c r="G20" s="471">
        <f t="shared" si="3"/>
        <v>17835</v>
      </c>
      <c r="H20" s="470">
        <v>264213</v>
      </c>
      <c r="I20" s="676"/>
      <c r="J20" s="332"/>
    </row>
    <row r="21" spans="1:10" ht="7.9" customHeight="1" x14ac:dyDescent="0.15">
      <c r="A21" s="19" t="s">
        <v>39</v>
      </c>
      <c r="B21" s="409">
        <v>53104</v>
      </c>
      <c r="C21" s="409">
        <v>29339</v>
      </c>
      <c r="D21" s="409">
        <v>8436</v>
      </c>
      <c r="E21" s="409">
        <v>20763</v>
      </c>
      <c r="F21" s="409">
        <v>20032</v>
      </c>
      <c r="G21" s="90">
        <f t="shared" si="3"/>
        <v>131674</v>
      </c>
      <c r="H21" s="409">
        <v>2473985</v>
      </c>
      <c r="I21" s="676"/>
      <c r="J21" s="332"/>
    </row>
    <row r="22" spans="1:10" ht="7.9" customHeight="1" x14ac:dyDescent="0.15">
      <c r="A22" s="19" t="s">
        <v>40</v>
      </c>
      <c r="B22" s="409">
        <v>7935</v>
      </c>
      <c r="C22" s="409">
        <v>3640</v>
      </c>
      <c r="D22" s="409">
        <v>2127</v>
      </c>
      <c r="E22" s="409">
        <v>4021</v>
      </c>
      <c r="F22" s="409">
        <v>3017</v>
      </c>
      <c r="G22" s="90">
        <f t="shared" si="3"/>
        <v>20740</v>
      </c>
      <c r="H22" s="409">
        <v>507331</v>
      </c>
      <c r="I22" s="676"/>
      <c r="J22" s="332"/>
    </row>
    <row r="23" spans="1:10" ht="7.9" customHeight="1" x14ac:dyDescent="0.15">
      <c r="A23" s="19" t="s">
        <v>367</v>
      </c>
      <c r="B23" s="409">
        <v>12048</v>
      </c>
      <c r="C23" s="409">
        <v>6544</v>
      </c>
      <c r="D23" s="409">
        <v>2191</v>
      </c>
      <c r="E23" s="409">
        <v>5134</v>
      </c>
      <c r="F23" s="409">
        <v>4466</v>
      </c>
      <c r="G23" s="90">
        <f t="shared" si="3"/>
        <v>30383</v>
      </c>
      <c r="H23" s="409">
        <v>620827</v>
      </c>
      <c r="I23" s="676"/>
      <c r="J23" s="332"/>
    </row>
    <row r="24" spans="1:10" ht="7.9" customHeight="1" thickBot="1" x14ac:dyDescent="0.2">
      <c r="A24" s="1008"/>
      <c r="B24" s="1009"/>
      <c r="C24" s="1009"/>
      <c r="D24" s="1009"/>
      <c r="E24" s="1009"/>
      <c r="F24" s="1009"/>
      <c r="G24" s="1010"/>
      <c r="H24" s="1009"/>
      <c r="I24" s="676"/>
      <c r="J24" s="332"/>
    </row>
    <row r="25" spans="1:10" ht="7.9" customHeight="1" thickTop="1" x14ac:dyDescent="0.15">
      <c r="A25" s="183" t="s">
        <v>883</v>
      </c>
      <c r="B25" s="12"/>
      <c r="C25" s="12"/>
      <c r="D25" s="12"/>
      <c r="E25" s="12"/>
      <c r="F25" s="12"/>
      <c r="G25" s="12"/>
      <c r="H25" s="12"/>
    </row>
    <row r="26" spans="1:10" ht="7.9" customHeight="1" x14ac:dyDescent="0.15">
      <c r="A26" s="134" t="s">
        <v>85</v>
      </c>
      <c r="B26" s="12"/>
      <c r="C26" s="12"/>
      <c r="D26" s="12"/>
      <c r="E26" s="12"/>
      <c r="F26" s="12"/>
      <c r="G26" s="12"/>
      <c r="H26" s="12"/>
    </row>
    <row r="27" spans="1:10" ht="7.9" customHeight="1" x14ac:dyDescent="0.15">
      <c r="A27" s="93"/>
      <c r="B27" s="12"/>
      <c r="C27" s="12"/>
      <c r="D27" s="12"/>
      <c r="E27" s="12"/>
      <c r="F27" s="12"/>
      <c r="G27" s="12"/>
      <c r="H27" s="12"/>
    </row>
    <row r="28" spans="1:10" ht="7.9" customHeight="1" x14ac:dyDescent="0.15"/>
    <row r="29" spans="1:10" ht="7.9" customHeight="1" x14ac:dyDescent="0.15"/>
    <row r="30" spans="1:10" ht="7.9" customHeight="1" x14ac:dyDescent="0.15">
      <c r="H30" s="63"/>
    </row>
    <row r="31" spans="1:10" ht="9.9499999999999993" customHeight="1" x14ac:dyDescent="0.15">
      <c r="H31" s="63"/>
    </row>
    <row r="32" spans="1:10" ht="9.9499999999999993" customHeight="1" x14ac:dyDescent="0.15">
      <c r="H32" s="63"/>
    </row>
    <row r="33" spans="8:8" ht="9.9499999999999993" customHeight="1" x14ac:dyDescent="0.15">
      <c r="H33" s="62"/>
    </row>
    <row r="34" spans="8:8" ht="9.9499999999999993" customHeight="1" x14ac:dyDescent="0.15">
      <c r="H34" s="63"/>
    </row>
    <row r="35" spans="8:8" ht="9.9499999999999993" customHeight="1" x14ac:dyDescent="0.15">
      <c r="H35" s="63"/>
    </row>
    <row r="36" spans="8:8" ht="9.9499999999999993" customHeight="1" x14ac:dyDescent="0.15">
      <c r="H36" s="63"/>
    </row>
    <row r="37" spans="8:8" ht="9.9499999999999993" customHeight="1" x14ac:dyDescent="0.15">
      <c r="H37" s="62"/>
    </row>
    <row r="38" spans="8:8" ht="9.9499999999999993" customHeight="1" x14ac:dyDescent="0.15">
      <c r="H38" s="63"/>
    </row>
    <row r="39" spans="8:8" ht="9.9499999999999993" customHeight="1" x14ac:dyDescent="0.15">
      <c r="H39" s="63"/>
    </row>
    <row r="40" spans="8:8" ht="9.9499999999999993" customHeight="1" x14ac:dyDescent="0.15">
      <c r="H40" s="63"/>
    </row>
    <row r="41" spans="8:8" ht="9.9499999999999993" customHeight="1" x14ac:dyDescent="0.15">
      <c r="H41" s="63"/>
    </row>
    <row r="42" spans="8:8" ht="9.9499999999999993" customHeight="1" x14ac:dyDescent="0.15">
      <c r="H42" s="63"/>
    </row>
    <row r="43" spans="8:8" ht="9.9499999999999993" customHeight="1" x14ac:dyDescent="0.15">
      <c r="H43" s="63"/>
    </row>
    <row r="44" spans="8:8" ht="9.9499999999999993" customHeight="1" x14ac:dyDescent="0.15">
      <c r="H44" s="63"/>
    </row>
    <row r="45" spans="8:8" ht="9.9499999999999993" customHeight="1" x14ac:dyDescent="0.15">
      <c r="H45" s="62"/>
    </row>
    <row r="46" spans="8:8" ht="9.9499999999999993" customHeight="1" x14ac:dyDescent="0.15">
      <c r="H46"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L31"/>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9.7109375" style="54" bestFit="1" customWidth="1"/>
    <col min="9" max="10" width="7.28515625" style="241" customWidth="1"/>
    <col min="11" max="11" width="23.5703125" style="241" customWidth="1"/>
    <col min="12" max="12" width="11.42578125" style="241" customWidth="1"/>
    <col min="13" max="16384" width="11.42578125" style="53"/>
  </cols>
  <sheetData>
    <row r="1" spans="1:12" ht="15" customHeight="1" x14ac:dyDescent="0.15">
      <c r="A1" s="1019" t="s">
        <v>462</v>
      </c>
      <c r="B1" s="1019"/>
      <c r="C1" s="1019"/>
      <c r="D1" s="1019"/>
      <c r="E1" s="1019"/>
      <c r="F1" s="1019"/>
      <c r="G1" s="1019"/>
      <c r="H1" s="1019"/>
    </row>
    <row r="2" spans="1:12" s="46" customFormat="1" ht="9.9499999999999993" customHeight="1" x14ac:dyDescent="0.2">
      <c r="A2" s="1021" t="s">
        <v>812</v>
      </c>
      <c r="B2" s="1021"/>
      <c r="C2" s="1021"/>
      <c r="D2" s="1021"/>
      <c r="E2" s="1021"/>
      <c r="F2" s="1021"/>
      <c r="G2" s="1021"/>
      <c r="H2" s="1021"/>
      <c r="I2" s="258"/>
      <c r="J2" s="258"/>
      <c r="K2" s="258"/>
      <c r="L2" s="258"/>
    </row>
    <row r="3" spans="1:12" ht="7.9" customHeight="1" x14ac:dyDescent="0.15">
      <c r="A3" s="56"/>
      <c r="B3" s="57"/>
    </row>
    <row r="4" spans="1:12" ht="20.100000000000001" customHeight="1" x14ac:dyDescent="0.15">
      <c r="A4" s="58"/>
      <c r="B4" s="22" t="s">
        <v>374</v>
      </c>
      <c r="C4" s="22" t="s">
        <v>375</v>
      </c>
      <c r="D4" s="22" t="s">
        <v>376</v>
      </c>
      <c r="E4" s="22" t="s">
        <v>377</v>
      </c>
      <c r="F4" s="22" t="s">
        <v>378</v>
      </c>
      <c r="G4" s="23" t="s">
        <v>379</v>
      </c>
      <c r="H4" s="88" t="s">
        <v>388</v>
      </c>
    </row>
    <row r="5" spans="1:12" ht="7.9" customHeight="1" x14ac:dyDescent="0.15">
      <c r="A5" s="78"/>
      <c r="B5" s="126"/>
      <c r="C5" s="126"/>
      <c r="D5" s="126"/>
      <c r="E5" s="126"/>
      <c r="F5" s="126"/>
      <c r="G5" s="126"/>
      <c r="H5" s="126"/>
    </row>
    <row r="6" spans="1:12" ht="7.9" customHeight="1" x14ac:dyDescent="0.15">
      <c r="A6" s="929" t="s">
        <v>460</v>
      </c>
      <c r="B6" s="930">
        <f>B9+B12+B15</f>
        <v>41576</v>
      </c>
      <c r="C6" s="930">
        <f t="shared" ref="C6:H6" si="0">C9+C12+C15</f>
        <v>23278</v>
      </c>
      <c r="D6" s="930">
        <f>D9+D12+D15</f>
        <v>5916</v>
      </c>
      <c r="E6" s="930">
        <f t="shared" si="0"/>
        <v>16745</v>
      </c>
      <c r="F6" s="930">
        <f t="shared" si="0"/>
        <v>13213</v>
      </c>
      <c r="G6" s="930">
        <f t="shared" si="0"/>
        <v>100728</v>
      </c>
      <c r="H6" s="930">
        <f t="shared" si="0"/>
        <v>2318147</v>
      </c>
    </row>
    <row r="7" spans="1:12" ht="7.9" customHeight="1" x14ac:dyDescent="0.15">
      <c r="A7" s="86" t="s">
        <v>582</v>
      </c>
      <c r="B7" s="190">
        <f>(B6/(SUM('page 7 Démo'!B11:B13)))*1000</f>
        <v>60.269135261995913</v>
      </c>
      <c r="C7" s="190">
        <f>(C6/(SUM('page 7 Démo'!C11:C13)))*1000</f>
        <v>58.126701126176748</v>
      </c>
      <c r="D7" s="190">
        <f>(D6/(SUM('page 7 Démo'!D11:D13)))*1000</f>
        <v>38.713477080129564</v>
      </c>
      <c r="E7" s="190">
        <f>(E6/(SUM('page 7 Démo'!E11:E13)))*1000</f>
        <v>58.635058477484414</v>
      </c>
      <c r="F7" s="190">
        <f>(F6/(SUM('page 7 Démo'!F11:F13)))*1000</f>
        <v>39.518114089001742</v>
      </c>
      <c r="G7" s="582">
        <f>(G6/(SUM('page 7 Démo'!G11:G13)))*1000</f>
        <v>54.065978657657816</v>
      </c>
      <c r="H7" s="190">
        <f>(H6/(SUM('page 7 Démo'!H11:H13)))*1000</f>
        <v>70.249712192937238</v>
      </c>
    </row>
    <row r="8" spans="1:12" ht="7.9" customHeight="1" x14ac:dyDescent="0.15">
      <c r="A8" s="86"/>
      <c r="B8" s="161"/>
      <c r="C8" s="161"/>
      <c r="D8" s="161"/>
      <c r="E8" s="161"/>
      <c r="F8" s="161"/>
      <c r="G8" s="188"/>
      <c r="H8" s="161"/>
    </row>
    <row r="9" spans="1:12" ht="7.9" customHeight="1" x14ac:dyDescent="0.15">
      <c r="A9" s="54" t="s">
        <v>170</v>
      </c>
      <c r="B9" s="160">
        <f>SUM(B10:B11)</f>
        <v>3655</v>
      </c>
      <c r="C9" s="160">
        <f t="shared" ref="C9:H9" si="1">SUM(C10:C11)</f>
        <v>2339</v>
      </c>
      <c r="D9" s="160">
        <f>SUM(D10:D11)</f>
        <v>559</v>
      </c>
      <c r="E9" s="160">
        <f t="shared" si="1"/>
        <v>1805</v>
      </c>
      <c r="F9" s="160">
        <f t="shared" si="1"/>
        <v>1154</v>
      </c>
      <c r="G9" s="461">
        <f t="shared" ref="G9:G17" si="2">SUM(B9:F9)</f>
        <v>9512</v>
      </c>
      <c r="H9" s="160">
        <f t="shared" si="1"/>
        <v>207374</v>
      </c>
    </row>
    <row r="10" spans="1:12" ht="7.9" customHeight="1" x14ac:dyDescent="0.15">
      <c r="A10" s="53" t="s">
        <v>456</v>
      </c>
      <c r="B10" s="460">
        <v>3176</v>
      </c>
      <c r="C10" s="460">
        <v>2046</v>
      </c>
      <c r="D10" s="460">
        <v>477</v>
      </c>
      <c r="E10" s="460">
        <v>1592</v>
      </c>
      <c r="F10" s="460">
        <v>960</v>
      </c>
      <c r="G10" s="461">
        <f t="shared" si="2"/>
        <v>8251</v>
      </c>
      <c r="H10" s="460">
        <v>182224</v>
      </c>
    </row>
    <row r="11" spans="1:12" ht="7.9" customHeight="1" x14ac:dyDescent="0.15">
      <c r="A11" s="53" t="s">
        <v>457</v>
      </c>
      <c r="B11" s="460">
        <v>479</v>
      </c>
      <c r="C11" s="460">
        <v>293</v>
      </c>
      <c r="D11" s="460">
        <v>82</v>
      </c>
      <c r="E11" s="460">
        <v>213</v>
      </c>
      <c r="F11" s="460">
        <v>194</v>
      </c>
      <c r="G11" s="461">
        <f t="shared" si="2"/>
        <v>1261</v>
      </c>
      <c r="H11" s="460">
        <v>25150</v>
      </c>
    </row>
    <row r="12" spans="1:12" ht="7.9" customHeight="1" x14ac:dyDescent="0.15">
      <c r="A12" s="87" t="s">
        <v>171</v>
      </c>
      <c r="B12" s="160">
        <f>SUM(B13:B14)</f>
        <v>26115</v>
      </c>
      <c r="C12" s="160">
        <f t="shared" ref="C12:H12" si="3">SUM(C13:C14)</f>
        <v>14216</v>
      </c>
      <c r="D12" s="160">
        <f>SUM(D13:D14)</f>
        <v>3432</v>
      </c>
      <c r="E12" s="160">
        <f t="shared" si="3"/>
        <v>10276</v>
      </c>
      <c r="F12" s="160">
        <f t="shared" si="3"/>
        <v>7299</v>
      </c>
      <c r="G12" s="461">
        <f t="shared" si="2"/>
        <v>61338</v>
      </c>
      <c r="H12" s="160">
        <f t="shared" si="3"/>
        <v>1524936</v>
      </c>
    </row>
    <row r="13" spans="1:12" ht="7.9" customHeight="1" x14ac:dyDescent="0.15">
      <c r="A13" s="13" t="s">
        <v>458</v>
      </c>
      <c r="B13" s="460">
        <v>21366</v>
      </c>
      <c r="C13" s="460">
        <v>11484</v>
      </c>
      <c r="D13" s="460">
        <v>2740</v>
      </c>
      <c r="E13" s="460">
        <v>8364</v>
      </c>
      <c r="F13" s="460">
        <v>5737</v>
      </c>
      <c r="G13" s="461">
        <f t="shared" si="2"/>
        <v>49691</v>
      </c>
      <c r="H13" s="460">
        <v>1259268</v>
      </c>
    </row>
    <row r="14" spans="1:12" ht="7.9" customHeight="1" x14ac:dyDescent="0.15">
      <c r="A14" s="53" t="s">
        <v>459</v>
      </c>
      <c r="B14" s="460">
        <v>4749</v>
      </c>
      <c r="C14" s="460">
        <v>2732</v>
      </c>
      <c r="D14" s="460">
        <v>692</v>
      </c>
      <c r="E14" s="460">
        <v>1912</v>
      </c>
      <c r="F14" s="460">
        <v>1562</v>
      </c>
      <c r="G14" s="461">
        <f t="shared" si="2"/>
        <v>11647</v>
      </c>
      <c r="H14" s="460">
        <v>265668</v>
      </c>
      <c r="K14" s="244"/>
    </row>
    <row r="15" spans="1:12" ht="7.9" customHeight="1" x14ac:dyDescent="0.15">
      <c r="A15" s="54" t="s">
        <v>172</v>
      </c>
      <c r="B15" s="160">
        <f>SUM(B16:B17)</f>
        <v>11806</v>
      </c>
      <c r="C15" s="160">
        <f t="shared" ref="C15:H15" si="4">SUM(C16:C17)</f>
        <v>6723</v>
      </c>
      <c r="D15" s="160">
        <f>SUM(D16:D17)</f>
        <v>1925</v>
      </c>
      <c r="E15" s="160">
        <f t="shared" si="4"/>
        <v>4664</v>
      </c>
      <c r="F15" s="160">
        <f t="shared" si="4"/>
        <v>4760</v>
      </c>
      <c r="G15" s="461">
        <f t="shared" si="2"/>
        <v>29878</v>
      </c>
      <c r="H15" s="160">
        <f t="shared" si="4"/>
        <v>585837</v>
      </c>
    </row>
    <row r="16" spans="1:12" ht="7.9" customHeight="1" x14ac:dyDescent="0.15">
      <c r="A16" s="53" t="s">
        <v>514</v>
      </c>
      <c r="B16" s="460">
        <v>10671</v>
      </c>
      <c r="C16" s="460">
        <v>6020</v>
      </c>
      <c r="D16" s="460">
        <v>1696</v>
      </c>
      <c r="E16" s="460">
        <v>4164</v>
      </c>
      <c r="F16" s="460">
        <v>4154</v>
      </c>
      <c r="G16" s="461">
        <f t="shared" si="2"/>
        <v>26705</v>
      </c>
      <c r="H16" s="460">
        <v>536947</v>
      </c>
    </row>
    <row r="17" spans="1:10" ht="7.9" customHeight="1" x14ac:dyDescent="0.15">
      <c r="A17" s="53" t="s">
        <v>515</v>
      </c>
      <c r="B17" s="460">
        <v>1135</v>
      </c>
      <c r="C17" s="460">
        <v>703</v>
      </c>
      <c r="D17" s="460">
        <v>229</v>
      </c>
      <c r="E17" s="460">
        <v>500</v>
      </c>
      <c r="F17" s="460">
        <v>606</v>
      </c>
      <c r="G17" s="461">
        <f t="shared" si="2"/>
        <v>3173</v>
      </c>
      <c r="H17" s="460">
        <v>48890</v>
      </c>
    </row>
    <row r="18" spans="1:10" ht="7.9" customHeight="1" x14ac:dyDescent="0.15">
      <c r="B18" s="104"/>
      <c r="C18" s="162"/>
      <c r="D18" s="162"/>
      <c r="E18" s="162"/>
      <c r="F18" s="162"/>
      <c r="G18" s="160"/>
      <c r="H18" s="76"/>
    </row>
    <row r="19" spans="1:10" ht="7.9" customHeight="1" x14ac:dyDescent="0.15">
      <c r="A19" s="929" t="s">
        <v>57</v>
      </c>
      <c r="B19" s="930">
        <v>83827</v>
      </c>
      <c r="C19" s="930">
        <v>52049</v>
      </c>
      <c r="D19" s="930">
        <v>13456</v>
      </c>
      <c r="E19" s="930">
        <v>38362</v>
      </c>
      <c r="F19" s="930">
        <v>28433</v>
      </c>
      <c r="G19" s="930">
        <f>SUM(B19:F19)</f>
        <v>216127</v>
      </c>
      <c r="H19" s="930">
        <v>4969900</v>
      </c>
    </row>
    <row r="20" spans="1:10" ht="7.9" customHeight="1" x14ac:dyDescent="0.15">
      <c r="A20" s="86" t="s">
        <v>583</v>
      </c>
      <c r="B20" s="190">
        <f>B19/'page 7 Démo'!B17*1000</f>
        <v>62.392727261901037</v>
      </c>
      <c r="C20" s="190">
        <f>C19/'page 7 Démo'!C17*1000</f>
        <v>64.672407151998613</v>
      </c>
      <c r="D20" s="190">
        <f>D19/'page 7 Démo'!D17*1000</f>
        <v>43.719539931119627</v>
      </c>
      <c r="E20" s="190">
        <f>E19/'page 7 Démo'!E17*1000</f>
        <v>67.243712444696854</v>
      </c>
      <c r="F20" s="190">
        <f>F19/'page 7 Démo'!F17*1000</f>
        <v>42.964364344095706</v>
      </c>
      <c r="G20" s="582">
        <f>G19/'page 7 Démo'!G17*1000</f>
        <v>58.596394480968854</v>
      </c>
      <c r="H20" s="190">
        <f>H19/'page 7 Démo'!H17*1000</f>
        <v>77.676439330401251</v>
      </c>
      <c r="J20" s="173"/>
    </row>
    <row r="21" spans="1:10" ht="7.9" customHeight="1" thickBot="1" x14ac:dyDescent="0.2">
      <c r="A21" s="1008"/>
      <c r="B21" s="1009"/>
      <c r="C21" s="1009"/>
      <c r="D21" s="1009"/>
      <c r="E21" s="1009"/>
      <c r="F21" s="1009"/>
      <c r="G21" s="1010"/>
      <c r="H21" s="1009"/>
    </row>
    <row r="22" spans="1:10" ht="7.9" customHeight="1" thickTop="1" x14ac:dyDescent="0.15">
      <c r="A22" s="61" t="s">
        <v>461</v>
      </c>
      <c r="B22" s="21"/>
      <c r="C22" s="21"/>
      <c r="D22" s="21"/>
      <c r="E22" s="21"/>
      <c r="F22" s="21"/>
      <c r="G22" s="21"/>
      <c r="H22" s="27"/>
    </row>
    <row r="23" spans="1:10" ht="7.9" customHeight="1" x14ac:dyDescent="0.15">
      <c r="A23" s="86" t="s">
        <v>432</v>
      </c>
    </row>
    <row r="24" spans="1:10" ht="7.9" customHeight="1" x14ac:dyDescent="0.15">
      <c r="A24" s="86" t="s">
        <v>884</v>
      </c>
    </row>
    <row r="25" spans="1:10" ht="7.9" customHeight="1" x14ac:dyDescent="0.15">
      <c r="A25" s="86" t="s">
        <v>636</v>
      </c>
    </row>
    <row r="26" spans="1:10" ht="7.9" customHeight="1" x14ac:dyDescent="0.15">
      <c r="A26" s="21"/>
    </row>
    <row r="27" spans="1:10" ht="7.9" customHeight="1" x14ac:dyDescent="0.15"/>
    <row r="28" spans="1:10" ht="7.9" customHeight="1" x14ac:dyDescent="0.15">
      <c r="B28" s="96"/>
      <c r="C28" s="96"/>
      <c r="D28" s="96"/>
      <c r="E28" s="96"/>
      <c r="F28" s="96"/>
      <c r="G28" s="96"/>
      <c r="H28" s="96"/>
    </row>
    <row r="29" spans="1:10" ht="7.9" customHeight="1" x14ac:dyDescent="0.15"/>
    <row r="30" spans="1:10" ht="7.9" customHeight="1" x14ac:dyDescent="0.15"/>
    <row r="31" spans="1:10"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L23"/>
  <sheetViews>
    <sheetView zoomScale="140" zoomScaleNormal="140" workbookViewId="0">
      <selection sqref="A1:H1"/>
    </sheetView>
  </sheetViews>
  <sheetFormatPr baseColWidth="10" defaultRowHeight="9.9499999999999993" customHeight="1" x14ac:dyDescent="0.15"/>
  <cols>
    <col min="1" max="1" width="26.28515625" style="53" customWidth="1"/>
    <col min="2" max="2" width="6.7109375" style="53" customWidth="1"/>
    <col min="3" max="3" width="6.140625" style="53" bestFit="1" customWidth="1"/>
    <col min="4" max="4" width="6.42578125" style="53" bestFit="1" customWidth="1"/>
    <col min="5" max="5" width="6.7109375" style="53" customWidth="1"/>
    <col min="6" max="6" width="6.140625" style="53" customWidth="1"/>
    <col min="7" max="7" width="6.85546875" style="53" customWidth="1"/>
    <col min="8" max="8" width="9.7109375" style="54" customWidth="1"/>
    <col min="9" max="10" width="7.28515625" style="241" customWidth="1"/>
    <col min="11" max="11" width="23.5703125" style="241" customWidth="1"/>
    <col min="12" max="12" width="11.42578125" style="241" customWidth="1"/>
    <col min="13" max="16384" width="11.42578125" style="53"/>
  </cols>
  <sheetData>
    <row r="1" spans="1:12" ht="15" customHeight="1" x14ac:dyDescent="0.15">
      <c r="A1" s="1019" t="s">
        <v>51</v>
      </c>
      <c r="B1" s="1019"/>
      <c r="C1" s="1019"/>
      <c r="D1" s="1019"/>
      <c r="E1" s="1019"/>
      <c r="F1" s="1019"/>
      <c r="G1" s="1019"/>
      <c r="H1" s="1019"/>
      <c r="K1" s="173"/>
    </row>
    <row r="2" spans="1:12" ht="9.9499999999999993" customHeight="1" x14ac:dyDescent="0.15">
      <c r="A2" s="1023" t="s">
        <v>814</v>
      </c>
      <c r="B2" s="1023"/>
      <c r="C2" s="1023"/>
      <c r="D2" s="1023"/>
      <c r="E2" s="1023"/>
      <c r="F2" s="1023"/>
      <c r="G2" s="1023"/>
      <c r="H2" s="1023"/>
    </row>
    <row r="3" spans="1:12" ht="7.9" customHeight="1" x14ac:dyDescent="0.15">
      <c r="A3" s="56"/>
      <c r="B3" s="57"/>
    </row>
    <row r="4" spans="1:12" ht="20.100000000000001" customHeight="1" x14ac:dyDescent="0.15">
      <c r="A4" s="58"/>
      <c r="B4" s="22" t="s">
        <v>374</v>
      </c>
      <c r="C4" s="22" t="s">
        <v>375</v>
      </c>
      <c r="D4" s="22" t="s">
        <v>376</v>
      </c>
      <c r="E4" s="22" t="s">
        <v>377</v>
      </c>
      <c r="F4" s="22" t="s">
        <v>378</v>
      </c>
      <c r="G4" s="23" t="s">
        <v>379</v>
      </c>
      <c r="H4" s="88" t="s">
        <v>388</v>
      </c>
    </row>
    <row r="5" spans="1:12" ht="7.9" customHeight="1" x14ac:dyDescent="0.15">
      <c r="A5" s="78"/>
      <c r="B5" s="126"/>
      <c r="C5" s="126"/>
      <c r="D5" s="126"/>
      <c r="E5" s="126"/>
      <c r="F5" s="126"/>
      <c r="G5" s="126"/>
      <c r="H5" s="126"/>
    </row>
    <row r="6" spans="1:12" ht="7.9" customHeight="1" x14ac:dyDescent="0.15">
      <c r="A6" s="929" t="s">
        <v>394</v>
      </c>
      <c r="B6" s="940">
        <v>6240</v>
      </c>
      <c r="C6" s="940">
        <v>4710</v>
      </c>
      <c r="D6" s="940">
        <v>1270</v>
      </c>
      <c r="E6" s="940">
        <v>3520</v>
      </c>
      <c r="F6" s="940">
        <v>3960</v>
      </c>
      <c r="G6" s="941">
        <f>SUM(B6:F6)</f>
        <v>19700</v>
      </c>
      <c r="H6" s="942">
        <v>437300</v>
      </c>
    </row>
    <row r="7" spans="1:12" ht="7.9" customHeight="1" x14ac:dyDescent="0.15">
      <c r="A7" s="86" t="s">
        <v>397</v>
      </c>
      <c r="B7" s="657">
        <f>(B6/(SUM('page 7 Démo'!B10:B13)))*1000</f>
        <v>8.0880351518450837</v>
      </c>
      <c r="C7" s="657">
        <f>(C6/(SUM('page 7 Démo'!C10:C13)))*1000</f>
        <v>10.485563983089524</v>
      </c>
      <c r="D7" s="657">
        <f>(D6/(SUM('page 7 Démo'!D10:D13)))*1000</f>
        <v>7.576797102919155</v>
      </c>
      <c r="E7" s="657">
        <f>(E6/(SUM('page 7 Démo'!E10:E13)))*1000</f>
        <v>11.16460819203126</v>
      </c>
      <c r="F7" s="657">
        <f>(F6/(SUM('page 7 Démo'!F10:F13)))*1000</f>
        <v>10.911345319280843</v>
      </c>
      <c r="G7" s="658">
        <f>(G6/(SUM('page 7 Démo'!G10:G13)))*1000</f>
        <v>9.5329207562654759</v>
      </c>
      <c r="H7" s="657">
        <f>(H6/(SUM('page 7 Démo'!H10:H13)))*1000</f>
        <v>11.895823488721042</v>
      </c>
    </row>
    <row r="8" spans="1:12" ht="7.9" customHeight="1" x14ac:dyDescent="0.15">
      <c r="A8" s="86"/>
      <c r="G8" s="54"/>
    </row>
    <row r="9" spans="1:12" ht="7.9" customHeight="1" x14ac:dyDescent="0.15">
      <c r="A9" s="929" t="s">
        <v>177</v>
      </c>
      <c r="B9" s="940"/>
      <c r="C9" s="940"/>
      <c r="D9" s="940"/>
      <c r="E9" s="940"/>
      <c r="F9" s="940"/>
      <c r="G9" s="941"/>
      <c r="H9" s="942"/>
    </row>
    <row r="10" spans="1:12" ht="7.9" customHeight="1" x14ac:dyDescent="0.15">
      <c r="A10" s="929" t="s">
        <v>567</v>
      </c>
      <c r="B10" s="940">
        <v>6930</v>
      </c>
      <c r="C10" s="940">
        <v>4250</v>
      </c>
      <c r="D10" s="940">
        <v>1660</v>
      </c>
      <c r="E10" s="940">
        <v>3360</v>
      </c>
      <c r="F10" s="940">
        <v>3670</v>
      </c>
      <c r="G10" s="941">
        <f>SUM(B10:F10)</f>
        <v>19870</v>
      </c>
      <c r="H10" s="942">
        <v>483380</v>
      </c>
    </row>
    <row r="11" spans="1:12" ht="7.9" customHeight="1" x14ac:dyDescent="0.15">
      <c r="A11" s="86" t="s">
        <v>398</v>
      </c>
      <c r="B11" s="657">
        <f>(B10/(SUM('page 7 Démo'!B13:B16)))*1000</f>
        <v>22.690734780345174</v>
      </c>
      <c r="C11" s="657">
        <f>(C10/(SUM('page 7 Démo'!C13:C16)))*1000</f>
        <v>22.168554036502481</v>
      </c>
      <c r="D11" s="657">
        <f>(D10/(SUM('page 7 Démo'!D13:D16)))*1000</f>
        <v>20.544300194304526</v>
      </c>
      <c r="E11" s="657">
        <f>(E10/(SUM('page 7 Démo'!E13:E16)))*1000</f>
        <v>22.556996697011197</v>
      </c>
      <c r="F11" s="657">
        <f>(F10/(SUM('page 7 Démo'!F13:F16)))*1000</f>
        <v>19.55018591321209</v>
      </c>
      <c r="G11" s="659">
        <f>(G10/(SUM('page 7 Démo'!G13:G16)))*1000</f>
        <v>21.725273151301714</v>
      </c>
      <c r="H11" s="657">
        <f>(H10/(SUM('page 7 Démo'!H13:H16)))*1000</f>
        <v>30.938581239025599</v>
      </c>
    </row>
    <row r="12" spans="1:12" ht="7.9" customHeight="1" x14ac:dyDescent="0.15">
      <c r="A12" s="86"/>
      <c r="G12" s="27"/>
    </row>
    <row r="13" spans="1:12" s="65" customFormat="1" ht="7.9" customHeight="1" x14ac:dyDescent="0.15">
      <c r="A13" s="929" t="s">
        <v>815</v>
      </c>
      <c r="B13" s="940"/>
      <c r="C13" s="940"/>
      <c r="D13" s="940"/>
      <c r="E13" s="940"/>
      <c r="F13" s="940"/>
      <c r="G13" s="941"/>
      <c r="H13" s="942"/>
      <c r="I13" s="173"/>
      <c r="J13" s="173"/>
      <c r="K13" s="173"/>
      <c r="L13" s="173"/>
    </row>
    <row r="14" spans="1:12" s="65" customFormat="1" ht="7.9" customHeight="1" x14ac:dyDescent="0.15">
      <c r="A14" s="201" t="s">
        <v>702</v>
      </c>
      <c r="B14" s="600">
        <v>72416</v>
      </c>
      <c r="C14" s="600">
        <v>46115</v>
      </c>
      <c r="D14" s="600">
        <v>14495</v>
      </c>
      <c r="E14" s="600">
        <v>40060</v>
      </c>
      <c r="F14" s="600">
        <v>24572</v>
      </c>
      <c r="G14" s="424">
        <f>SUM(B14:F14)</f>
        <v>197658</v>
      </c>
      <c r="H14" s="394">
        <v>4620582</v>
      </c>
      <c r="I14" s="173"/>
      <c r="J14" s="173"/>
      <c r="K14" s="173"/>
      <c r="L14" s="173"/>
    </row>
    <row r="15" spans="1:12" s="65" customFormat="1" ht="7.9" customHeight="1" x14ac:dyDescent="0.15">
      <c r="A15" s="200" t="s">
        <v>321</v>
      </c>
      <c r="B15" s="122">
        <f>(B14/('page 7 Démo'!B17))</f>
        <v>5.3899480327314897E-2</v>
      </c>
      <c r="C15" s="122">
        <f>(C14/('page 7 Démo'!C17))</f>
        <v>5.7299238329543617E-2</v>
      </c>
      <c r="D15" s="122">
        <f>(D14/('page 7 Démo'!D17))</f>
        <v>4.7095327831568001E-2</v>
      </c>
      <c r="E15" s="122">
        <f>(E14/('page 7 Démo'!E17))</f>
        <v>7.0220090728704346E-2</v>
      </c>
      <c r="F15" s="122">
        <f>(F14/('page 7 Démo'!F17))</f>
        <v>3.7130107996452E-2</v>
      </c>
      <c r="G15" s="660">
        <f>(G14/('page 7 Démo'!G17))</f>
        <v>5.3589075591292813E-2</v>
      </c>
      <c r="H15" s="122">
        <f>(H14/('page 7 Démo'!H17))</f>
        <v>7.221681671545585E-2</v>
      </c>
      <c r="I15" s="173"/>
      <c r="J15" s="173"/>
      <c r="K15" s="173"/>
      <c r="L15" s="173"/>
    </row>
    <row r="16" spans="1:12" ht="7.9" customHeight="1" thickBot="1" x14ac:dyDescent="0.2">
      <c r="A16" s="1008"/>
      <c r="B16" s="1009"/>
      <c r="C16" s="1009"/>
      <c r="D16" s="1009"/>
      <c r="E16" s="1009"/>
      <c r="F16" s="1009"/>
      <c r="G16" s="1010"/>
      <c r="H16" s="1009"/>
    </row>
    <row r="17" spans="1:8" ht="7.9" customHeight="1" thickTop="1" x14ac:dyDescent="0.15">
      <c r="A17" s="61" t="s">
        <v>701</v>
      </c>
      <c r="B17" s="21"/>
      <c r="C17" s="21"/>
      <c r="D17" s="21"/>
      <c r="E17" s="21"/>
      <c r="F17" s="21"/>
      <c r="G17" s="21"/>
      <c r="H17" s="27"/>
    </row>
    <row r="18" spans="1:8" ht="7.9" customHeight="1" x14ac:dyDescent="0.15">
      <c r="A18" s="125" t="s">
        <v>178</v>
      </c>
      <c r="B18" s="65"/>
      <c r="C18" s="65"/>
      <c r="D18" s="65"/>
      <c r="E18" s="65"/>
      <c r="F18" s="65"/>
      <c r="G18" s="65"/>
      <c r="H18" s="66"/>
    </row>
    <row r="19" spans="1:8" ht="7.9" customHeight="1" x14ac:dyDescent="0.15">
      <c r="A19" s="125" t="s">
        <v>433</v>
      </c>
      <c r="B19" s="65"/>
      <c r="C19" s="65"/>
      <c r="D19" s="65"/>
      <c r="E19" s="65"/>
      <c r="F19" s="65"/>
      <c r="G19" s="65"/>
      <c r="H19" s="66"/>
    </row>
    <row r="20" spans="1:8" ht="7.9" customHeight="1" x14ac:dyDescent="0.15">
      <c r="A20" s="99"/>
    </row>
    <row r="21" spans="1:8" ht="7.9" customHeight="1" x14ac:dyDescent="0.15"/>
    <row r="22" spans="1:8" ht="7.9" customHeight="1" x14ac:dyDescent="0.15"/>
    <row r="23" spans="1:8"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24"/>
  <sheetViews>
    <sheetView workbookViewId="0">
      <selection activeCell="A8" sqref="A8"/>
    </sheetView>
  </sheetViews>
  <sheetFormatPr baseColWidth="10" defaultRowHeight="12.75" x14ac:dyDescent="0.2"/>
  <cols>
    <col min="1" max="1" width="121.7109375" style="198" customWidth="1"/>
    <col min="2" max="16384" width="11.42578125" style="198"/>
  </cols>
  <sheetData>
    <row r="1" spans="1:1" x14ac:dyDescent="0.2">
      <c r="A1" s="910" t="s">
        <v>80</v>
      </c>
    </row>
    <row r="4" spans="1:1" x14ac:dyDescent="0.2">
      <c r="A4" s="734" t="s">
        <v>761</v>
      </c>
    </row>
    <row r="5" spans="1:1" x14ac:dyDescent="0.2">
      <c r="A5" s="734" t="s">
        <v>762</v>
      </c>
    </row>
    <row r="6" spans="1:1" x14ac:dyDescent="0.2">
      <c r="A6" s="197"/>
    </row>
    <row r="7" spans="1:1" x14ac:dyDescent="0.2">
      <c r="A7" s="663" t="s">
        <v>1040</v>
      </c>
    </row>
    <row r="8" spans="1:1" x14ac:dyDescent="0.2">
      <c r="A8" s="199"/>
    </row>
    <row r="9" spans="1:1" x14ac:dyDescent="0.2">
      <c r="A9" s="199" t="s">
        <v>41</v>
      </c>
    </row>
    <row r="10" spans="1:1" x14ac:dyDescent="0.2">
      <c r="A10" s="197" t="s">
        <v>42</v>
      </c>
    </row>
    <row r="11" spans="1:1" x14ac:dyDescent="0.2">
      <c r="A11" s="197" t="s">
        <v>44</v>
      </c>
    </row>
    <row r="12" spans="1:1" x14ac:dyDescent="0.2">
      <c r="A12" s="197"/>
    </row>
    <row r="13" spans="1:1" x14ac:dyDescent="0.2">
      <c r="A13" s="197"/>
    </row>
    <row r="14" spans="1:1" x14ac:dyDescent="0.2">
      <c r="A14" s="734" t="s">
        <v>694</v>
      </c>
    </row>
    <row r="15" spans="1:1" x14ac:dyDescent="0.2">
      <c r="A15" s="735" t="s">
        <v>695</v>
      </c>
    </row>
    <row r="17" spans="1:5" ht="13.5" thickBot="1" x14ac:dyDescent="0.25">
      <c r="A17" s="197"/>
      <c r="C17" s="917"/>
      <c r="D17" s="917"/>
      <c r="E17" s="917"/>
    </row>
    <row r="18" spans="1:5" ht="13.5" thickTop="1" x14ac:dyDescent="0.2">
      <c r="A18" s="913" t="s">
        <v>733</v>
      </c>
      <c r="C18" s="917"/>
      <c r="D18" s="917"/>
      <c r="E18" s="917"/>
    </row>
    <row r="19" spans="1:5" x14ac:dyDescent="0.2">
      <c r="A19" s="914" t="s">
        <v>734</v>
      </c>
      <c r="C19" s="917"/>
      <c r="D19" s="917"/>
      <c r="E19" s="917"/>
    </row>
    <row r="20" spans="1:5" x14ac:dyDescent="0.2">
      <c r="A20" s="915" t="s">
        <v>497</v>
      </c>
      <c r="C20" s="917"/>
      <c r="D20" s="917"/>
      <c r="E20" s="917"/>
    </row>
    <row r="21" spans="1:5" x14ac:dyDescent="0.2">
      <c r="A21" s="915" t="s">
        <v>696</v>
      </c>
      <c r="C21" s="917"/>
      <c r="D21" s="917"/>
      <c r="E21" s="917"/>
    </row>
    <row r="22" spans="1:5" x14ac:dyDescent="0.2">
      <c r="A22" s="915"/>
      <c r="C22" s="917"/>
      <c r="D22" s="917"/>
      <c r="E22" s="917"/>
    </row>
    <row r="23" spans="1:5" ht="13.5" thickBot="1" x14ac:dyDescent="0.25">
      <c r="A23" s="916" t="s">
        <v>45</v>
      </c>
      <c r="C23" s="917"/>
      <c r="D23" s="917"/>
      <c r="E23" s="917"/>
    </row>
    <row r="24" spans="1:5" ht="13.5" thickTop="1" x14ac:dyDescent="0.2">
      <c r="C24" s="917"/>
      <c r="D24" s="917"/>
      <c r="E24" s="917"/>
    </row>
  </sheetData>
  <phoneticPr fontId="15" type="noConversion"/>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M39"/>
  <sheetViews>
    <sheetView zoomScale="140" zoomScaleNormal="140" workbookViewId="0">
      <selection sqref="A1:H1"/>
    </sheetView>
  </sheetViews>
  <sheetFormatPr baseColWidth="10" defaultRowHeight="9.9499999999999993" customHeight="1" x14ac:dyDescent="0.15"/>
  <cols>
    <col min="1" max="1" width="42.85546875" style="814" customWidth="1"/>
    <col min="2" max="6" width="6.7109375" style="814" customWidth="1"/>
    <col min="7" max="7" width="6.85546875" style="814" customWidth="1"/>
    <col min="8" max="8" width="9.7109375" style="841" customWidth="1"/>
    <col min="9" max="10" width="7.28515625" style="813" customWidth="1"/>
    <col min="11" max="11" width="11.42578125" style="843"/>
    <col min="12" max="12" width="11.42578125" style="814"/>
    <col min="13" max="13" width="11.42578125" style="843"/>
    <col min="14" max="16384" width="11.42578125" style="814"/>
  </cols>
  <sheetData>
    <row r="1" spans="1:13" ht="15" customHeight="1" x14ac:dyDescent="0.15">
      <c r="A1" s="1024" t="s">
        <v>989</v>
      </c>
      <c r="B1" s="1024"/>
      <c r="C1" s="1024"/>
      <c r="D1" s="1024"/>
      <c r="E1" s="1024"/>
      <c r="F1" s="1024"/>
      <c r="G1" s="1024"/>
      <c r="H1" s="1024"/>
    </row>
    <row r="2" spans="1:13" s="815" customFormat="1" ht="9.9499999999999993" customHeight="1" x14ac:dyDescent="0.2">
      <c r="A2" s="1025" t="s">
        <v>902</v>
      </c>
      <c r="B2" s="1025"/>
      <c r="C2" s="1025"/>
      <c r="D2" s="1025"/>
      <c r="E2" s="1025"/>
      <c r="F2" s="1025"/>
      <c r="G2" s="1025"/>
      <c r="H2" s="1025"/>
      <c r="J2" s="816"/>
      <c r="K2" s="844"/>
      <c r="M2" s="844"/>
    </row>
    <row r="3" spans="1:13" ht="7.9" customHeight="1" x14ac:dyDescent="0.15">
      <c r="A3" s="817"/>
      <c r="B3" s="818"/>
      <c r="H3" s="819"/>
    </row>
    <row r="4" spans="1:13" s="818" customFormat="1" ht="20.100000000000001" customHeight="1" x14ac:dyDescent="0.15">
      <c r="A4" s="820"/>
      <c r="B4" s="821" t="s">
        <v>374</v>
      </c>
      <c r="C4" s="821" t="s">
        <v>375</v>
      </c>
      <c r="D4" s="821" t="s">
        <v>376</v>
      </c>
      <c r="E4" s="821" t="s">
        <v>377</v>
      </c>
      <c r="F4" s="821" t="s">
        <v>378</v>
      </c>
      <c r="G4" s="822" t="s">
        <v>379</v>
      </c>
      <c r="H4" s="88" t="s">
        <v>388</v>
      </c>
      <c r="I4" s="823"/>
      <c r="J4" s="823"/>
      <c r="K4" s="845"/>
      <c r="M4" s="845"/>
    </row>
    <row r="5" spans="1:13" ht="7.9" customHeight="1" x14ac:dyDescent="0.15">
      <c r="A5" s="824"/>
      <c r="B5" s="821"/>
      <c r="C5" s="821"/>
      <c r="D5" s="821"/>
      <c r="E5" s="821"/>
      <c r="F5" s="821"/>
      <c r="G5" s="822"/>
      <c r="H5" s="822"/>
    </row>
    <row r="6" spans="1:13" ht="7.9" customHeight="1" x14ac:dyDescent="0.15">
      <c r="A6" s="943" t="s">
        <v>1016</v>
      </c>
      <c r="B6" s="944">
        <v>35642</v>
      </c>
      <c r="C6" s="944">
        <v>22586</v>
      </c>
      <c r="D6" s="944">
        <v>10531</v>
      </c>
      <c r="E6" s="944">
        <v>17609</v>
      </c>
      <c r="F6" s="944">
        <v>21594</v>
      </c>
      <c r="G6" s="944">
        <v>107962</v>
      </c>
      <c r="H6" s="944">
        <v>1976207</v>
      </c>
      <c r="I6" s="825"/>
      <c r="J6" s="825"/>
    </row>
    <row r="7" spans="1:13" s="827" customFormat="1" ht="7.9" customHeight="1" x14ac:dyDescent="0.15">
      <c r="A7" s="856" t="s">
        <v>886</v>
      </c>
      <c r="B7" s="857">
        <v>23293</v>
      </c>
      <c r="C7" s="857">
        <v>14929</v>
      </c>
      <c r="D7" s="857">
        <v>6941</v>
      </c>
      <c r="E7" s="857">
        <v>12098</v>
      </c>
      <c r="F7" s="857">
        <v>15172</v>
      </c>
      <c r="G7" s="857">
        <v>72433</v>
      </c>
      <c r="H7" s="857">
        <v>1355132</v>
      </c>
      <c r="I7" s="825"/>
      <c r="J7" s="825"/>
      <c r="K7" s="858"/>
      <c r="M7" s="858"/>
    </row>
    <row r="8" spans="1:13" ht="7.9" customHeight="1" x14ac:dyDescent="0.15">
      <c r="A8" s="827" t="s">
        <v>885</v>
      </c>
      <c r="B8" s="828">
        <v>9042</v>
      </c>
      <c r="C8" s="828">
        <v>5069</v>
      </c>
      <c r="D8" s="828">
        <v>2174</v>
      </c>
      <c r="E8" s="828">
        <v>4991</v>
      </c>
      <c r="F8" s="828">
        <v>5735</v>
      </c>
      <c r="G8" s="829">
        <v>27011</v>
      </c>
      <c r="H8" s="828">
        <v>730547</v>
      </c>
      <c r="I8" s="830"/>
    </row>
    <row r="9" spans="1:13" ht="7.9" customHeight="1" x14ac:dyDescent="0.15">
      <c r="A9" s="827" t="s">
        <v>887</v>
      </c>
      <c r="B9" s="828">
        <v>1991</v>
      </c>
      <c r="C9" s="828">
        <v>1908</v>
      </c>
      <c r="D9" s="828">
        <v>791</v>
      </c>
      <c r="E9" s="828">
        <v>1203</v>
      </c>
      <c r="F9" s="828">
        <v>1282</v>
      </c>
      <c r="G9" s="829">
        <v>7175</v>
      </c>
      <c r="H9" s="828">
        <v>115385</v>
      </c>
    </row>
    <row r="10" spans="1:13" ht="7.9" customHeight="1" x14ac:dyDescent="0.15">
      <c r="A10" s="859" t="s">
        <v>888</v>
      </c>
      <c r="B10" s="829">
        <v>9924</v>
      </c>
      <c r="C10" s="829">
        <v>5644</v>
      </c>
      <c r="D10" s="829">
        <v>2758</v>
      </c>
      <c r="E10" s="829">
        <v>4105</v>
      </c>
      <c r="F10" s="829">
        <v>5367</v>
      </c>
      <c r="G10" s="829">
        <v>27798</v>
      </c>
      <c r="H10" s="829">
        <v>466032</v>
      </c>
    </row>
    <row r="11" spans="1:13" ht="7.9" customHeight="1" x14ac:dyDescent="0.15">
      <c r="A11" s="827" t="s">
        <v>885</v>
      </c>
      <c r="B11" s="828">
        <v>6693</v>
      </c>
      <c r="C11" s="828">
        <v>4136</v>
      </c>
      <c r="D11" s="828">
        <v>1563</v>
      </c>
      <c r="E11" s="828">
        <v>2763</v>
      </c>
      <c r="F11" s="828">
        <v>3740</v>
      </c>
      <c r="G11" s="829">
        <v>18895</v>
      </c>
      <c r="H11" s="828">
        <v>316939</v>
      </c>
    </row>
    <row r="12" spans="1:13" ht="7.9" customHeight="1" x14ac:dyDescent="0.15">
      <c r="A12" s="827" t="s">
        <v>887</v>
      </c>
      <c r="B12" s="828">
        <v>2490</v>
      </c>
      <c r="C12" s="828">
        <v>1278</v>
      </c>
      <c r="D12" s="828">
        <v>835</v>
      </c>
      <c r="E12" s="828">
        <v>1010</v>
      </c>
      <c r="F12" s="828">
        <v>1232</v>
      </c>
      <c r="G12" s="829">
        <v>6845</v>
      </c>
      <c r="H12" s="828">
        <v>113520</v>
      </c>
    </row>
    <row r="13" spans="1:13" ht="7.9" customHeight="1" x14ac:dyDescent="0.15">
      <c r="A13" s="856" t="s">
        <v>889</v>
      </c>
      <c r="B13" s="857">
        <v>2425</v>
      </c>
      <c r="C13" s="857">
        <v>2013</v>
      </c>
      <c r="D13" s="857">
        <v>832</v>
      </c>
      <c r="E13" s="857">
        <v>1406</v>
      </c>
      <c r="F13" s="857">
        <v>1055</v>
      </c>
      <c r="G13" s="857">
        <v>7731</v>
      </c>
      <c r="H13" s="857">
        <v>155043</v>
      </c>
    </row>
    <row r="14" spans="1:13" ht="7.9" customHeight="1" x14ac:dyDescent="0.15">
      <c r="A14" s="827" t="s">
        <v>991</v>
      </c>
      <c r="B14" s="828">
        <v>2084</v>
      </c>
      <c r="C14" s="828">
        <v>1894</v>
      </c>
      <c r="D14" s="828">
        <v>807</v>
      </c>
      <c r="E14" s="828">
        <v>1194</v>
      </c>
      <c r="F14" s="828">
        <v>957</v>
      </c>
      <c r="G14" s="829">
        <v>6936</v>
      </c>
      <c r="H14" s="828">
        <v>140287</v>
      </c>
    </row>
    <row r="15" spans="1:13" ht="7.9" customHeight="1" x14ac:dyDescent="0.15">
      <c r="A15" s="827" t="s">
        <v>992</v>
      </c>
      <c r="B15" s="832">
        <v>341</v>
      </c>
      <c r="C15" s="832">
        <v>119</v>
      </c>
      <c r="D15" s="832">
        <v>25</v>
      </c>
      <c r="E15" s="832">
        <v>212</v>
      </c>
      <c r="F15" s="832">
        <v>98</v>
      </c>
      <c r="G15" s="829">
        <v>795</v>
      </c>
      <c r="H15" s="832">
        <v>14756</v>
      </c>
    </row>
    <row r="16" spans="1:13" ht="7.9" customHeight="1" x14ac:dyDescent="0.15">
      <c r="A16" s="827"/>
      <c r="B16" s="832"/>
      <c r="C16" s="832"/>
      <c r="D16" s="832"/>
      <c r="E16" s="832"/>
      <c r="F16" s="832"/>
      <c r="G16" s="829"/>
      <c r="H16" s="826"/>
    </row>
    <row r="17" spans="1:13" ht="7.9" customHeight="1" x14ac:dyDescent="0.15">
      <c r="A17" s="943" t="s">
        <v>1017</v>
      </c>
      <c r="B17" s="944"/>
      <c r="C17" s="944"/>
      <c r="D17" s="944"/>
      <c r="E17" s="944"/>
      <c r="F17" s="944"/>
      <c r="G17" s="944"/>
      <c r="H17" s="944"/>
    </row>
    <row r="18" spans="1:13" s="835" customFormat="1" ht="7.9" customHeight="1" x14ac:dyDescent="0.15">
      <c r="A18" s="827" t="s">
        <v>892</v>
      </c>
      <c r="B18" s="833">
        <v>114854.94899999999</v>
      </c>
      <c r="C18" s="833">
        <v>79469.17297</v>
      </c>
      <c r="D18" s="833">
        <v>42138.352300000006</v>
      </c>
      <c r="E18" s="833">
        <v>70687.099417371719</v>
      </c>
      <c r="F18" s="833">
        <v>74235.006999999998</v>
      </c>
      <c r="G18" s="829">
        <v>381384.58068737166</v>
      </c>
      <c r="H18" s="828">
        <v>7849296.0101887584</v>
      </c>
      <c r="I18" s="834"/>
      <c r="J18" s="834"/>
      <c r="K18" s="846"/>
      <c r="M18" s="846"/>
    </row>
    <row r="19" spans="1:13" s="827" customFormat="1" ht="7.9" customHeight="1" x14ac:dyDescent="0.15">
      <c r="A19" s="831" t="s">
        <v>893</v>
      </c>
      <c r="B19" s="833">
        <v>88541.126000000004</v>
      </c>
      <c r="C19" s="833">
        <v>56094.601969999996</v>
      </c>
      <c r="D19" s="833">
        <v>25284.26109</v>
      </c>
      <c r="E19" s="833">
        <v>46932.684639999999</v>
      </c>
      <c r="F19" s="833">
        <v>52057.214999999997</v>
      </c>
      <c r="G19" s="857">
        <v>268909.88870000001</v>
      </c>
      <c r="H19" s="828">
        <v>5386426.8052499993</v>
      </c>
      <c r="I19" s="825"/>
      <c r="J19" s="825"/>
      <c r="K19" s="858"/>
      <c r="M19" s="858"/>
    </row>
    <row r="20" spans="1:13" ht="7.9" customHeight="1" x14ac:dyDescent="0.15">
      <c r="A20" s="827" t="s">
        <v>894</v>
      </c>
      <c r="B20" s="828">
        <v>138377</v>
      </c>
      <c r="C20" s="828">
        <v>84142</v>
      </c>
      <c r="D20" s="828">
        <v>38998</v>
      </c>
      <c r="E20" s="828">
        <v>83533</v>
      </c>
      <c r="F20" s="828">
        <v>88004</v>
      </c>
      <c r="G20" s="829">
        <v>433054</v>
      </c>
      <c r="H20" s="828">
        <v>7563577</v>
      </c>
    </row>
    <row r="21" spans="1:13" ht="7.9" customHeight="1" x14ac:dyDescent="0.15">
      <c r="A21" s="860" t="s">
        <v>895</v>
      </c>
      <c r="B21" s="430">
        <v>127476.736</v>
      </c>
      <c r="C21" s="430">
        <v>98928.538499999995</v>
      </c>
      <c r="D21" s="430">
        <v>33737.49</v>
      </c>
      <c r="E21" s="430">
        <v>58194.210006291221</v>
      </c>
      <c r="F21" s="430">
        <v>45308.775999999998</v>
      </c>
      <c r="G21" s="829">
        <v>363645.75050629122</v>
      </c>
      <c r="H21" s="828">
        <v>7311923.442105554</v>
      </c>
    </row>
    <row r="22" spans="1:13" s="827" customFormat="1" ht="7.9" customHeight="1" x14ac:dyDescent="0.15">
      <c r="A22" s="831" t="s">
        <v>897</v>
      </c>
      <c r="B22" s="833">
        <v>171657.32199999999</v>
      </c>
      <c r="C22" s="833">
        <v>91420.692200000005</v>
      </c>
      <c r="D22" s="833">
        <v>25872.807000000001</v>
      </c>
      <c r="E22" s="833">
        <v>72721.820669999986</v>
      </c>
      <c r="F22" s="833">
        <v>50055.752999999997</v>
      </c>
      <c r="G22" s="857">
        <v>411728.39486999996</v>
      </c>
      <c r="H22" s="828">
        <v>9657645.5204700008</v>
      </c>
      <c r="I22" s="825"/>
      <c r="J22" s="825"/>
      <c r="K22" s="858"/>
      <c r="M22" s="858"/>
    </row>
    <row r="23" spans="1:13" s="827" customFormat="1" ht="7.9" customHeight="1" x14ac:dyDescent="0.15">
      <c r="A23" s="831" t="s">
        <v>896</v>
      </c>
      <c r="B23" s="833">
        <v>69267.794999999998</v>
      </c>
      <c r="C23" s="833">
        <v>41775.987890000011</v>
      </c>
      <c r="D23" s="833">
        <v>2587.375</v>
      </c>
      <c r="E23" s="833">
        <v>25674.98731764056</v>
      </c>
      <c r="F23" s="833">
        <v>20184.383999999998</v>
      </c>
      <c r="G23" s="857">
        <v>159490.52920764056</v>
      </c>
      <c r="H23" s="828">
        <v>3194682.3136014072</v>
      </c>
      <c r="I23" s="825"/>
      <c r="J23" s="825"/>
      <c r="K23" s="858"/>
      <c r="M23" s="858"/>
    </row>
    <row r="24" spans="1:13" s="827" customFormat="1" ht="7.9" customHeight="1" x14ac:dyDescent="0.15">
      <c r="A24" s="831"/>
      <c r="B24" s="833"/>
      <c r="C24" s="833"/>
      <c r="D24" s="833"/>
      <c r="E24" s="833"/>
      <c r="F24" s="833"/>
      <c r="G24" s="857"/>
      <c r="H24" s="828"/>
      <c r="I24" s="825"/>
      <c r="J24" s="825"/>
      <c r="K24" s="858"/>
      <c r="M24" s="858"/>
    </row>
    <row r="25" spans="1:13" ht="7.9" customHeight="1" x14ac:dyDescent="0.15">
      <c r="A25" s="943" t="s">
        <v>1018</v>
      </c>
      <c r="B25" s="944">
        <v>604318.02179999999</v>
      </c>
      <c r="C25" s="944">
        <v>382904.39201999997</v>
      </c>
      <c r="D25" s="944">
        <v>119382.80306000001</v>
      </c>
      <c r="E25" s="944">
        <v>280243.44875212392</v>
      </c>
      <c r="F25" s="944">
        <v>253633.9656</v>
      </c>
      <c r="G25" s="944">
        <v>1640482.6312321238</v>
      </c>
      <c r="H25" s="944">
        <v>33333879.065708637</v>
      </c>
    </row>
    <row r="26" spans="1:13" s="859" customFormat="1" ht="7.9" customHeight="1" x14ac:dyDescent="0.15">
      <c r="A26" s="836" t="s">
        <v>891</v>
      </c>
      <c r="B26" s="903">
        <v>447.28415782005987</v>
      </c>
      <c r="C26" s="903">
        <v>474.38592198801223</v>
      </c>
      <c r="D26" s="903">
        <v>387.85079907474187</v>
      </c>
      <c r="E26" s="903">
        <v>490.52438545550064</v>
      </c>
      <c r="F26" s="903">
        <v>381.47559183968139</v>
      </c>
      <c r="G26" s="864" t="s">
        <v>239</v>
      </c>
      <c r="H26" s="863" t="s">
        <v>239</v>
      </c>
      <c r="I26" s="861"/>
      <c r="J26" s="861"/>
      <c r="K26" s="862"/>
      <c r="M26" s="862"/>
    </row>
    <row r="27" spans="1:13" ht="7.9" customHeight="1" thickBot="1" x14ac:dyDescent="0.2">
      <c r="A27" s="1008"/>
      <c r="B27" s="1009"/>
      <c r="C27" s="1009"/>
      <c r="D27" s="1009"/>
      <c r="E27" s="1009"/>
      <c r="F27" s="1009"/>
      <c r="G27" s="1010"/>
      <c r="H27" s="1009"/>
    </row>
    <row r="28" spans="1:13" ht="7.9" customHeight="1" thickTop="1" x14ac:dyDescent="0.15">
      <c r="A28" s="837" t="s">
        <v>890</v>
      </c>
      <c r="B28" s="838"/>
      <c r="C28" s="838"/>
      <c r="D28" s="838"/>
      <c r="E28" s="838"/>
      <c r="F28" s="838"/>
      <c r="G28" s="838"/>
      <c r="H28" s="819"/>
    </row>
    <row r="29" spans="1:13" ht="7.9" customHeight="1" x14ac:dyDescent="0.15">
      <c r="A29" s="837" t="s">
        <v>901</v>
      </c>
      <c r="B29" s="838"/>
      <c r="C29" s="838"/>
      <c r="D29" s="838"/>
      <c r="E29" s="838"/>
      <c r="F29" s="838"/>
      <c r="G29" s="838"/>
      <c r="H29" s="819"/>
    </row>
    <row r="30" spans="1:13" ht="7.5" customHeight="1" x14ac:dyDescent="0.15">
      <c r="A30" s="839" t="s">
        <v>898</v>
      </c>
      <c r="C30" s="838"/>
      <c r="E30" s="838"/>
      <c r="F30" s="838"/>
      <c r="G30" s="838"/>
      <c r="H30" s="840"/>
    </row>
    <row r="31" spans="1:13" ht="7.5" customHeight="1" x14ac:dyDescent="0.15">
      <c r="A31" s="839" t="s">
        <v>899</v>
      </c>
      <c r="C31" s="838"/>
      <c r="E31" s="838"/>
      <c r="F31" s="838"/>
      <c r="G31" s="838"/>
      <c r="H31" s="840"/>
    </row>
    <row r="32" spans="1:13" ht="7.5" customHeight="1" x14ac:dyDescent="0.15">
      <c r="A32" s="839" t="s">
        <v>900</v>
      </c>
      <c r="C32" s="838"/>
      <c r="E32" s="838"/>
      <c r="F32" s="838"/>
      <c r="G32" s="838"/>
    </row>
    <row r="33" spans="1:11" ht="7.5" customHeight="1" x14ac:dyDescent="0.15">
      <c r="A33" s="839"/>
      <c r="C33" s="838"/>
      <c r="D33" s="838"/>
      <c r="E33" s="838"/>
      <c r="F33" s="838"/>
      <c r="G33" s="838"/>
    </row>
    <row r="35" spans="1:11" ht="9.9499999999999993" customHeight="1" x14ac:dyDescent="0.15">
      <c r="A35" s="842"/>
      <c r="B35" s="393"/>
      <c r="D35" s="818"/>
    </row>
    <row r="36" spans="1:11" ht="9.9499999999999993" customHeight="1" x14ac:dyDescent="0.15">
      <c r="B36" s="393"/>
    </row>
    <row r="37" spans="1:11" ht="9.9499999999999993" customHeight="1" x14ac:dyDescent="0.15">
      <c r="B37" s="393"/>
      <c r="E37" s="393"/>
      <c r="F37" s="393"/>
      <c r="K37" s="847"/>
    </row>
    <row r="38" spans="1:11" ht="9.9499999999999993" customHeight="1" x14ac:dyDescent="0.15">
      <c r="C38" s="393"/>
      <c r="E38" s="393"/>
      <c r="F38" s="393"/>
      <c r="G38" s="393"/>
    </row>
    <row r="39" spans="1:11" ht="9.9499999999999993" customHeight="1" x14ac:dyDescent="0.15">
      <c r="J39" s="830"/>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L32"/>
  <sheetViews>
    <sheetView zoomScale="139" zoomScaleNormal="139" workbookViewId="0">
      <selection sqref="A1:G1"/>
    </sheetView>
  </sheetViews>
  <sheetFormatPr baseColWidth="10" defaultRowHeight="9.9499999999999993" customHeight="1" x14ac:dyDescent="0.15"/>
  <cols>
    <col min="1" max="1" width="27.7109375" style="53" customWidth="1"/>
    <col min="2" max="6" width="6.7109375" style="53" customWidth="1"/>
    <col min="7" max="7" width="6.85546875" style="53" customWidth="1"/>
    <col min="8" max="8" width="5" style="54" customWidth="1"/>
    <col min="9" max="10" width="7.28515625" style="241" customWidth="1"/>
    <col min="11" max="11" width="23.5703125" style="241" customWidth="1"/>
    <col min="12" max="12" width="11.42578125" style="241" customWidth="1"/>
    <col min="13" max="16384" width="11.42578125" style="53"/>
  </cols>
  <sheetData>
    <row r="1" spans="1:12" ht="15" customHeight="1" x14ac:dyDescent="0.2">
      <c r="A1" s="1019" t="s">
        <v>440</v>
      </c>
      <c r="B1" s="1019"/>
      <c r="C1" s="1019"/>
      <c r="D1" s="1019"/>
      <c r="E1" s="1019"/>
      <c r="F1" s="1019"/>
      <c r="G1" s="1019"/>
      <c r="H1" s="812"/>
    </row>
    <row r="2" spans="1:12" ht="9.9499999999999993" customHeight="1" x14ac:dyDescent="0.2">
      <c r="A2" s="1021" t="s">
        <v>699</v>
      </c>
      <c r="B2" s="1021"/>
      <c r="C2" s="1021"/>
      <c r="D2" s="1021"/>
      <c r="E2" s="1021"/>
      <c r="F2" s="1021"/>
      <c r="G2" s="1021"/>
      <c r="H2" s="812"/>
      <c r="I2" s="173"/>
      <c r="J2" s="173"/>
      <c r="K2" s="173"/>
    </row>
    <row r="3" spans="1:12" ht="7.9" customHeight="1" x14ac:dyDescent="0.15">
      <c r="A3" s="56"/>
      <c r="B3" s="57"/>
      <c r="H3" s="87"/>
    </row>
    <row r="4" spans="1:12" ht="20.100000000000001" customHeight="1" x14ac:dyDescent="0.2">
      <c r="A4" s="58"/>
      <c r="B4" s="22" t="s">
        <v>374</v>
      </c>
      <c r="C4" s="22" t="s">
        <v>375</v>
      </c>
      <c r="D4" s="22" t="s">
        <v>376</v>
      </c>
      <c r="E4" s="22" t="s">
        <v>377</v>
      </c>
      <c r="F4" s="22" t="s">
        <v>378</v>
      </c>
      <c r="G4" s="23" t="s">
        <v>379</v>
      </c>
      <c r="H4" s="337"/>
    </row>
    <row r="5" spans="1:12" ht="7.9" customHeight="1" x14ac:dyDescent="0.15">
      <c r="A5" s="60"/>
      <c r="B5" s="22"/>
      <c r="C5" s="22"/>
      <c r="D5" s="22"/>
      <c r="E5" s="22"/>
      <c r="F5" s="22"/>
      <c r="G5" s="23"/>
      <c r="H5" s="848"/>
    </row>
    <row r="6" spans="1:12" ht="7.9" customHeight="1" x14ac:dyDescent="0.15">
      <c r="G6" s="164" t="s">
        <v>439</v>
      </c>
      <c r="H6" s="13"/>
    </row>
    <row r="7" spans="1:12" ht="7.9" customHeight="1" x14ac:dyDescent="0.15">
      <c r="A7" s="918" t="s">
        <v>441</v>
      </c>
      <c r="B7" s="930"/>
      <c r="C7" s="930"/>
      <c r="D7" s="930"/>
      <c r="E7" s="930"/>
      <c r="F7" s="930"/>
      <c r="G7" s="930"/>
      <c r="H7" s="736"/>
    </row>
    <row r="8" spans="1:12" ht="7.9" customHeight="1" x14ac:dyDescent="0.15">
      <c r="A8" s="18" t="s">
        <v>329</v>
      </c>
      <c r="B8" s="51">
        <v>13074</v>
      </c>
      <c r="C8" s="51">
        <v>4352</v>
      </c>
      <c r="D8" s="51">
        <v>1777</v>
      </c>
      <c r="E8" s="51">
        <v>3639</v>
      </c>
      <c r="F8" s="51">
        <v>3247</v>
      </c>
      <c r="G8" s="166">
        <v>26088</v>
      </c>
      <c r="H8" s="737"/>
    </row>
    <row r="9" spans="1:12" s="86" customFormat="1" ht="7.9" customHeight="1" x14ac:dyDescent="0.15">
      <c r="A9" s="61" t="s">
        <v>765</v>
      </c>
      <c r="B9" s="1026">
        <v>281</v>
      </c>
      <c r="C9" s="1026">
        <v>169</v>
      </c>
      <c r="D9" s="1026">
        <v>123</v>
      </c>
      <c r="E9" s="1026">
        <v>269</v>
      </c>
      <c r="F9" s="1026">
        <v>178</v>
      </c>
      <c r="G9" s="1027">
        <v>1021</v>
      </c>
      <c r="H9" s="737"/>
      <c r="I9" s="241"/>
      <c r="J9" s="242"/>
      <c r="K9" s="242"/>
      <c r="L9" s="242"/>
    </row>
    <row r="10" spans="1:12" s="86" customFormat="1" ht="7.9" customHeight="1" x14ac:dyDescent="0.15">
      <c r="A10" s="61" t="s">
        <v>328</v>
      </c>
      <c r="B10" s="1026"/>
      <c r="C10" s="1026"/>
      <c r="D10" s="1026"/>
      <c r="E10" s="1026"/>
      <c r="F10" s="1026"/>
      <c r="G10" s="1027"/>
      <c r="H10" s="737"/>
      <c r="I10" s="241"/>
      <c r="J10" s="242"/>
      <c r="K10" s="242"/>
      <c r="L10" s="242"/>
    </row>
    <row r="11" spans="1:12" ht="7.9" customHeight="1" x14ac:dyDescent="0.15">
      <c r="A11" s="61"/>
      <c r="B11" s="136"/>
      <c r="C11" s="136"/>
      <c r="D11" s="136"/>
      <c r="E11" s="136"/>
      <c r="F11" s="136"/>
      <c r="G11" s="166"/>
      <c r="H11" s="324"/>
    </row>
    <row r="12" spans="1:12" ht="7.9" customHeight="1" x14ac:dyDescent="0.15">
      <c r="A12" s="918" t="s">
        <v>442</v>
      </c>
      <c r="B12" s="930"/>
      <c r="C12" s="930"/>
      <c r="D12" s="930"/>
      <c r="E12" s="930"/>
      <c r="F12" s="930"/>
      <c r="G12" s="930"/>
      <c r="H12" s="317"/>
    </row>
    <row r="13" spans="1:12" ht="7.9" customHeight="1" x14ac:dyDescent="0.15">
      <c r="A13" s="231" t="s">
        <v>333</v>
      </c>
      <c r="B13" s="131">
        <v>4359</v>
      </c>
      <c r="C13" s="131">
        <v>2657</v>
      </c>
      <c r="D13" s="131">
        <v>1124</v>
      </c>
      <c r="E13" s="131">
        <v>2879</v>
      </c>
      <c r="F13" s="131">
        <v>2258</v>
      </c>
      <c r="G13" s="166">
        <f>SUM(B13:F13)</f>
        <v>13277</v>
      </c>
      <c r="H13" s="677"/>
    </row>
    <row r="14" spans="1:12" ht="7.9" customHeight="1" x14ac:dyDescent="0.15">
      <c r="A14" s="231" t="s">
        <v>330</v>
      </c>
      <c r="B14" s="131">
        <v>3540</v>
      </c>
      <c r="C14" s="131">
        <v>1305</v>
      </c>
      <c r="D14" s="131">
        <v>447</v>
      </c>
      <c r="E14" s="131">
        <v>1023</v>
      </c>
      <c r="F14" s="131">
        <v>1064</v>
      </c>
      <c r="G14" s="166">
        <f>SUM(B14:F14)</f>
        <v>7379</v>
      </c>
      <c r="H14" s="677"/>
    </row>
    <row r="15" spans="1:12" ht="7.9" customHeight="1" x14ac:dyDescent="0.15">
      <c r="A15" s="231" t="s">
        <v>331</v>
      </c>
      <c r="B15" s="131">
        <v>505</v>
      </c>
      <c r="C15" s="131"/>
      <c r="D15" s="131"/>
      <c r="E15" s="131"/>
      <c r="F15" s="131"/>
      <c r="G15" s="166">
        <f>SUM(B15:F15)</f>
        <v>505</v>
      </c>
      <c r="H15" s="677"/>
    </row>
    <row r="16" spans="1:12" ht="7.9" customHeight="1" x14ac:dyDescent="0.15">
      <c r="A16" s="61"/>
      <c r="B16" s="126"/>
      <c r="C16" s="126"/>
      <c r="D16" s="126"/>
      <c r="E16" s="126"/>
      <c r="F16" s="126"/>
      <c r="G16" s="126"/>
      <c r="H16" s="317"/>
    </row>
    <row r="17" spans="1:8" ht="7.9" customHeight="1" x14ac:dyDescent="0.15">
      <c r="A17" s="918" t="s">
        <v>443</v>
      </c>
      <c r="B17" s="930"/>
      <c r="C17" s="930"/>
      <c r="D17" s="930"/>
      <c r="E17" s="930"/>
      <c r="F17" s="930"/>
      <c r="G17" s="930"/>
      <c r="H17" s="317"/>
    </row>
    <row r="18" spans="1:8" ht="7.9" customHeight="1" x14ac:dyDescent="0.15">
      <c r="A18" s="18" t="s">
        <v>332</v>
      </c>
      <c r="B18" s="131">
        <v>4598</v>
      </c>
      <c r="C18" s="131">
        <v>3435</v>
      </c>
      <c r="D18" s="131">
        <v>1546</v>
      </c>
      <c r="E18" s="131">
        <v>2469</v>
      </c>
      <c r="F18" s="131">
        <v>2515</v>
      </c>
      <c r="G18" s="166">
        <f>SUM(B18:F18)</f>
        <v>14563</v>
      </c>
      <c r="H18" s="677"/>
    </row>
    <row r="19" spans="1:8" ht="7.9" customHeight="1" x14ac:dyDescent="0.15">
      <c r="A19" s="134"/>
      <c r="B19" s="131"/>
      <c r="C19" s="131"/>
      <c r="D19" s="131"/>
      <c r="E19" s="131"/>
      <c r="F19" s="131"/>
      <c r="G19" s="26"/>
      <c r="H19" s="323"/>
    </row>
    <row r="20" spans="1:8" ht="7.9" customHeight="1" x14ac:dyDescent="0.15">
      <c r="A20" s="918" t="s">
        <v>307</v>
      </c>
      <c r="B20" s="930">
        <f>B8+B9+SUM(B13:B15)+B18</f>
        <v>26357</v>
      </c>
      <c r="C20" s="930">
        <f>C8+C9+SUM(C13:C15)+C18</f>
        <v>11918</v>
      </c>
      <c r="D20" s="930">
        <f>D8+D9+SUM(D13:D15)+D18</f>
        <v>5017</v>
      </c>
      <c r="E20" s="930">
        <f>E8+E9+SUM(E13:E15)+E18</f>
        <v>10279</v>
      </c>
      <c r="F20" s="930">
        <f>F8+F9+SUM(F13:F15)+F18</f>
        <v>9262</v>
      </c>
      <c r="G20" s="930">
        <f>G8+G9+G10+G13+G14+G15+G18</f>
        <v>62833</v>
      </c>
      <c r="H20" s="323"/>
    </row>
    <row r="21" spans="1:8" ht="7.9" customHeight="1" thickBot="1" x14ac:dyDescent="0.2">
      <c r="A21" s="1008"/>
      <c r="B21" s="1009"/>
      <c r="C21" s="1009"/>
      <c r="D21" s="1009"/>
      <c r="E21" s="1009"/>
      <c r="F21" s="1009"/>
      <c r="G21" s="1010"/>
      <c r="H21" s="1011"/>
    </row>
    <row r="22" spans="1:8" ht="7.9" customHeight="1" thickTop="1" x14ac:dyDescent="0.15">
      <c r="A22" s="18" t="s">
        <v>697</v>
      </c>
      <c r="B22" s="21"/>
      <c r="C22" s="21"/>
      <c r="D22" s="21"/>
      <c r="E22" s="21"/>
      <c r="F22" s="21"/>
      <c r="G22" s="21"/>
      <c r="H22" s="125"/>
    </row>
    <row r="23" spans="1:8" ht="7.9" customHeight="1" x14ac:dyDescent="0.15">
      <c r="G23" s="51"/>
    </row>
    <row r="24" spans="1:8" ht="7.9" customHeight="1" x14ac:dyDescent="0.15"/>
    <row r="25" spans="1:8" ht="7.9" customHeight="1" x14ac:dyDescent="0.15">
      <c r="A25" s="65"/>
    </row>
    <row r="26" spans="1:8" ht="7.9" customHeight="1" x14ac:dyDescent="0.15"/>
    <row r="27" spans="1:8" ht="7.9" customHeight="1" x14ac:dyDescent="0.15">
      <c r="B27" s="618"/>
      <c r="C27" s="618"/>
      <c r="D27" s="618"/>
      <c r="E27" s="618"/>
      <c r="F27" s="618"/>
      <c r="G27" s="619"/>
    </row>
    <row r="28" spans="1:8" ht="7.9" customHeight="1" x14ac:dyDescent="0.15">
      <c r="B28" s="618"/>
      <c r="C28" s="618"/>
      <c r="D28" s="618"/>
      <c r="E28" s="618"/>
      <c r="F28" s="618"/>
      <c r="G28" s="619"/>
    </row>
    <row r="29" spans="1:8" ht="7.9" customHeight="1" x14ac:dyDescent="0.15">
      <c r="B29" s="618"/>
      <c r="C29" s="618"/>
      <c r="D29" s="618"/>
      <c r="E29" s="618"/>
      <c r="F29" s="618"/>
      <c r="G29" s="619"/>
    </row>
    <row r="30" spans="1:8" ht="7.9" customHeight="1" x14ac:dyDescent="0.15"/>
    <row r="31" spans="1:8" ht="7.9" customHeight="1" x14ac:dyDescent="0.15"/>
    <row r="32" spans="1:8" ht="9.9499999999999993" customHeight="1" x14ac:dyDescent="0.15">
      <c r="A32" s="141"/>
      <c r="B32" s="21"/>
      <c r="C32" s="21"/>
      <c r="D32" s="21"/>
      <c r="E32" s="21"/>
      <c r="F32" s="21"/>
      <c r="G32" s="21"/>
    </row>
  </sheetData>
  <mergeCells count="8">
    <mergeCell ref="A2:G2"/>
    <mergeCell ref="A1:G1"/>
    <mergeCell ref="B9:B10"/>
    <mergeCell ref="C9:C10"/>
    <mergeCell ref="D9:D10"/>
    <mergeCell ref="E9:E10"/>
    <mergeCell ref="F9:F10"/>
    <mergeCell ref="G9:G10"/>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L34"/>
  <sheetViews>
    <sheetView zoomScale="140" zoomScaleNormal="140" workbookViewId="0">
      <selection sqref="A1:H1"/>
    </sheetView>
  </sheetViews>
  <sheetFormatPr baseColWidth="10" defaultRowHeight="9.9499999999999993" customHeight="1" x14ac:dyDescent="0.15"/>
  <cols>
    <col min="1" max="1" width="24.7109375" style="53" customWidth="1"/>
    <col min="2" max="6" width="6.7109375" style="53" customWidth="1"/>
    <col min="7" max="7" width="6.85546875" style="53" customWidth="1"/>
    <col min="8" max="8" width="8.7109375" style="54" customWidth="1"/>
    <col min="9" max="10" width="7.28515625" style="241" customWidth="1"/>
    <col min="11" max="11" width="23.5703125" style="241" customWidth="1"/>
    <col min="12" max="12" width="11.42578125" style="241" customWidth="1"/>
    <col min="13" max="16384" width="11.42578125" style="53"/>
  </cols>
  <sheetData>
    <row r="1" spans="1:12" ht="15" customHeight="1" x14ac:dyDescent="0.25">
      <c r="A1" s="1019" t="s">
        <v>868</v>
      </c>
      <c r="B1" s="1019"/>
      <c r="C1" s="1019"/>
      <c r="D1" s="1019"/>
      <c r="E1" s="1019"/>
      <c r="F1" s="1019"/>
      <c r="G1" s="1019"/>
      <c r="H1" s="1019"/>
      <c r="I1" s="384"/>
    </row>
    <row r="2" spans="1:12" s="46" customFormat="1" ht="9.9499999999999993" customHeight="1" x14ac:dyDescent="0.2">
      <c r="A2" s="1021" t="s">
        <v>816</v>
      </c>
      <c r="B2" s="1021"/>
      <c r="C2" s="1021"/>
      <c r="D2" s="1021"/>
      <c r="E2" s="1021"/>
      <c r="F2" s="1021"/>
      <c r="G2" s="1021"/>
      <c r="H2" s="1021"/>
      <c r="I2" s="258"/>
      <c r="J2" s="258"/>
      <c r="K2" s="258"/>
      <c r="L2" s="258"/>
    </row>
    <row r="3" spans="1:12" ht="7.9" customHeight="1" x14ac:dyDescent="0.15">
      <c r="A3" s="56"/>
      <c r="B3" s="57"/>
    </row>
    <row r="4" spans="1:12" s="57" customFormat="1" ht="27" x14ac:dyDescent="0.15">
      <c r="A4" s="58"/>
      <c r="B4" s="22" t="s">
        <v>374</v>
      </c>
      <c r="C4" s="22" t="s">
        <v>375</v>
      </c>
      <c r="D4" s="22" t="s">
        <v>376</v>
      </c>
      <c r="E4" s="22" t="s">
        <v>377</v>
      </c>
      <c r="F4" s="22" t="s">
        <v>378</v>
      </c>
      <c r="G4" s="23" t="s">
        <v>379</v>
      </c>
      <c r="H4" s="172" t="s">
        <v>766</v>
      </c>
      <c r="I4" s="327"/>
      <c r="J4" s="339"/>
      <c r="K4" s="339"/>
      <c r="L4" s="243"/>
    </row>
    <row r="5" spans="1:12" ht="7.9" customHeight="1" x14ac:dyDescent="0.15">
      <c r="A5" s="60"/>
      <c r="B5" s="22"/>
      <c r="C5" s="22"/>
      <c r="D5" s="22"/>
      <c r="E5" s="22"/>
      <c r="F5" s="22"/>
      <c r="G5" s="23"/>
      <c r="H5" s="23"/>
    </row>
    <row r="6" spans="1:12" ht="7.9" customHeight="1" x14ac:dyDescent="0.15">
      <c r="A6" s="922" t="s">
        <v>1019</v>
      </c>
      <c r="B6" s="945">
        <f t="shared" ref="B6:F6" si="0">B7+B10</f>
        <v>7310</v>
      </c>
      <c r="C6" s="945">
        <f t="shared" si="0"/>
        <v>3986</v>
      </c>
      <c r="D6" s="945">
        <f t="shared" si="0"/>
        <v>1989</v>
      </c>
      <c r="E6" s="945">
        <f t="shared" si="0"/>
        <v>2937</v>
      </c>
      <c r="F6" s="945">
        <f t="shared" si="0"/>
        <v>2703</v>
      </c>
      <c r="G6" s="945">
        <f>G7+G10</f>
        <v>18925</v>
      </c>
      <c r="H6" s="945">
        <f>H7+H10</f>
        <v>351318</v>
      </c>
    </row>
    <row r="7" spans="1:12" ht="7.9" customHeight="1" x14ac:dyDescent="0.15">
      <c r="A7" s="18" t="s">
        <v>870</v>
      </c>
      <c r="B7" s="165">
        <v>5161</v>
      </c>
      <c r="C7" s="165">
        <v>2572</v>
      </c>
      <c r="D7" s="165">
        <v>1687</v>
      </c>
      <c r="E7" s="165">
        <v>1991</v>
      </c>
      <c r="F7" s="165">
        <v>2009</v>
      </c>
      <c r="G7" s="167">
        <f>SUM(B7:F7)</f>
        <v>13420</v>
      </c>
      <c r="H7" s="89">
        <v>280099</v>
      </c>
    </row>
    <row r="8" spans="1:12" ht="7.9" customHeight="1" x14ac:dyDescent="0.15">
      <c r="A8" s="18" t="s">
        <v>871</v>
      </c>
      <c r="B8" s="165">
        <v>2968</v>
      </c>
      <c r="C8" s="165">
        <v>1420</v>
      </c>
      <c r="D8" s="165">
        <v>816</v>
      </c>
      <c r="E8" s="165">
        <v>1188</v>
      </c>
      <c r="F8" s="165">
        <v>1172</v>
      </c>
      <c r="G8" s="167">
        <f>SUM(B8:F8)</f>
        <v>7564</v>
      </c>
      <c r="H8" s="89">
        <v>160043</v>
      </c>
    </row>
    <row r="9" spans="1:12" ht="7.9" customHeight="1" x14ac:dyDescent="0.15">
      <c r="A9" s="18" t="s">
        <v>872</v>
      </c>
      <c r="B9" s="165">
        <v>2193</v>
      </c>
      <c r="C9" s="165">
        <v>1152</v>
      </c>
      <c r="D9" s="165">
        <v>871</v>
      </c>
      <c r="E9" s="165">
        <v>803</v>
      </c>
      <c r="F9" s="165">
        <v>837</v>
      </c>
      <c r="G9" s="167">
        <f>SUM(B9:F9)</f>
        <v>5856</v>
      </c>
      <c r="H9" s="89">
        <v>120056</v>
      </c>
    </row>
    <row r="10" spans="1:12" ht="7.9" customHeight="1" x14ac:dyDescent="0.15">
      <c r="A10" s="18" t="s">
        <v>873</v>
      </c>
      <c r="B10" s="165">
        <v>2149</v>
      </c>
      <c r="C10" s="165">
        <v>1414</v>
      </c>
      <c r="D10" s="165">
        <v>302</v>
      </c>
      <c r="E10" s="165">
        <v>946</v>
      </c>
      <c r="F10" s="165">
        <v>694</v>
      </c>
      <c r="G10" s="167">
        <f>SUM(B10:F10)</f>
        <v>5505</v>
      </c>
      <c r="H10" s="89">
        <v>71219</v>
      </c>
    </row>
    <row r="11" spans="1:12" ht="18" x14ac:dyDescent="0.15">
      <c r="A11" s="849" t="s">
        <v>1020</v>
      </c>
      <c r="B11" s="102">
        <f t="shared" ref="B11:H11" si="1">B6/B31</f>
        <v>2.6789313592553231E-2</v>
      </c>
      <c r="C11" s="102">
        <f t="shared" si="1"/>
        <v>2.4769610310521183E-2</v>
      </c>
      <c r="D11" s="102">
        <f t="shared" si="1"/>
        <v>3.329427519250084E-2</v>
      </c>
      <c r="E11" s="102">
        <f t="shared" si="1"/>
        <v>2.6933587660253472E-2</v>
      </c>
      <c r="F11" s="102">
        <f t="shared" si="1"/>
        <v>2.1758730056509908E-2</v>
      </c>
      <c r="G11" s="477">
        <f t="shared" si="1"/>
        <v>2.6038621088187341E-2</v>
      </c>
      <c r="H11" s="102">
        <f t="shared" si="1"/>
        <v>2.7694192321699687E-2</v>
      </c>
    </row>
    <row r="12" spans="1:12" ht="7.9" customHeight="1" x14ac:dyDescent="0.15">
      <c r="A12" s="86"/>
      <c r="B12" s="106"/>
      <c r="C12" s="106"/>
      <c r="D12" s="106"/>
      <c r="E12" s="106"/>
      <c r="F12" s="106"/>
      <c r="G12" s="107"/>
      <c r="H12" s="106"/>
    </row>
    <row r="13" spans="1:12" ht="7.9" customHeight="1" x14ac:dyDescent="0.15">
      <c r="A13" s="922" t="s">
        <v>869</v>
      </c>
      <c r="B13" s="945"/>
      <c r="C13" s="945"/>
      <c r="D13" s="945"/>
      <c r="E13" s="945"/>
      <c r="F13" s="945"/>
      <c r="G13" s="945"/>
      <c r="H13" s="945"/>
      <c r="I13" s="678"/>
    </row>
    <row r="14" spans="1:12" ht="7.9" customHeight="1" x14ac:dyDescent="0.15">
      <c r="A14" s="53" t="s">
        <v>234</v>
      </c>
      <c r="B14" s="51">
        <v>3552</v>
      </c>
      <c r="C14" s="51">
        <v>1589</v>
      </c>
      <c r="D14" s="51">
        <v>1179</v>
      </c>
      <c r="E14" s="51">
        <v>1192</v>
      </c>
      <c r="F14" s="51">
        <v>1315</v>
      </c>
      <c r="G14" s="167">
        <f>SUM(B14:F14)</f>
        <v>8827</v>
      </c>
      <c r="H14" s="89">
        <v>195678</v>
      </c>
      <c r="I14" s="678"/>
    </row>
    <row r="15" spans="1:12" ht="7.9" customHeight="1" x14ac:dyDescent="0.15">
      <c r="A15" s="21" t="s">
        <v>1021</v>
      </c>
      <c r="B15" s="51">
        <v>1609</v>
      </c>
      <c r="C15" s="51">
        <v>983</v>
      </c>
      <c r="D15" s="51">
        <v>508</v>
      </c>
      <c r="E15" s="51">
        <v>799</v>
      </c>
      <c r="F15" s="51">
        <v>694</v>
      </c>
      <c r="G15" s="167">
        <f>SUM(B15:F15)</f>
        <v>4593</v>
      </c>
      <c r="H15" s="89">
        <v>84421</v>
      </c>
      <c r="I15" s="678"/>
    </row>
    <row r="16" spans="1:12" ht="7.9" customHeight="1" x14ac:dyDescent="0.15">
      <c r="A16" s="21"/>
      <c r="B16" s="159"/>
      <c r="C16" s="159"/>
      <c r="D16" s="159"/>
      <c r="E16" s="159"/>
      <c r="F16" s="159"/>
      <c r="G16" s="52"/>
      <c r="H16" s="106"/>
      <c r="I16" s="678"/>
    </row>
    <row r="17" spans="1:10" ht="7.9" customHeight="1" x14ac:dyDescent="0.15">
      <c r="A17" s="922" t="s">
        <v>874</v>
      </c>
      <c r="B17" s="945"/>
      <c r="C17" s="945"/>
      <c r="D17" s="945"/>
      <c r="E17" s="945"/>
      <c r="F17" s="945"/>
      <c r="G17" s="945"/>
      <c r="H17" s="945"/>
      <c r="I17" s="678"/>
    </row>
    <row r="18" spans="1:10" ht="7.9" customHeight="1" x14ac:dyDescent="0.15">
      <c r="A18" s="19" t="s">
        <v>875</v>
      </c>
      <c r="B18" s="103">
        <v>651</v>
      </c>
      <c r="C18" s="103">
        <v>360</v>
      </c>
      <c r="D18" s="103">
        <v>188</v>
      </c>
      <c r="E18" s="103">
        <v>377</v>
      </c>
      <c r="F18" s="103">
        <v>370</v>
      </c>
      <c r="G18" s="167">
        <f>SUM(B18:F18)</f>
        <v>1946</v>
      </c>
      <c r="H18" s="103">
        <f>11125+50829+3456+17572</f>
        <v>82982</v>
      </c>
      <c r="I18" s="678"/>
    </row>
    <row r="19" spans="1:10" ht="7.9" customHeight="1" x14ac:dyDescent="0.15">
      <c r="A19" s="290" t="s">
        <v>876</v>
      </c>
      <c r="B19" s="104">
        <v>400</v>
      </c>
      <c r="C19" s="104">
        <v>208</v>
      </c>
      <c r="D19" s="104">
        <v>160</v>
      </c>
      <c r="E19" s="104">
        <v>48</v>
      </c>
      <c r="F19" s="104">
        <v>138</v>
      </c>
      <c r="G19" s="167">
        <f>SUM(B19:F19)</f>
        <v>954</v>
      </c>
      <c r="H19" s="169">
        <f>24350+14816</f>
        <v>39166</v>
      </c>
      <c r="I19" s="678"/>
    </row>
    <row r="20" spans="1:10" ht="7.9" customHeight="1" thickBot="1" x14ac:dyDescent="0.2">
      <c r="A20" s="1008"/>
      <c r="B20" s="1009"/>
      <c r="C20" s="1009"/>
      <c r="D20" s="1009"/>
      <c r="E20" s="1009"/>
      <c r="F20" s="1009"/>
      <c r="G20" s="1010"/>
      <c r="H20" s="1009"/>
    </row>
    <row r="21" spans="1:10" ht="7.9" customHeight="1" thickTop="1" x14ac:dyDescent="0.15">
      <c r="A21" s="61" t="s">
        <v>1025</v>
      </c>
      <c r="B21" s="13"/>
      <c r="C21" s="13"/>
      <c r="D21" s="13"/>
      <c r="E21" s="13"/>
      <c r="F21" s="13"/>
      <c r="G21" s="13"/>
      <c r="H21" s="13"/>
    </row>
    <row r="22" spans="1:10" ht="7.9" customHeight="1" x14ac:dyDescent="0.15">
      <c r="A22" s="61" t="s">
        <v>1024</v>
      </c>
      <c r="B22" s="13"/>
      <c r="C22" s="13"/>
      <c r="D22" s="13"/>
      <c r="E22" s="13"/>
      <c r="F22" s="13"/>
      <c r="G22" s="13"/>
      <c r="H22" s="13"/>
    </row>
    <row r="23" spans="1:10" ht="7.9" customHeight="1" x14ac:dyDescent="0.15">
      <c r="A23" s="61" t="s">
        <v>1022</v>
      </c>
      <c r="B23" s="13"/>
      <c r="C23" s="13"/>
      <c r="D23" s="13"/>
      <c r="E23" s="13"/>
      <c r="F23" s="13"/>
      <c r="G23" s="13"/>
      <c r="H23" s="13"/>
    </row>
    <row r="24" spans="1:10" ht="7.9" customHeight="1" x14ac:dyDescent="0.15">
      <c r="A24" s="168" t="s">
        <v>1023</v>
      </c>
      <c r="B24" s="14"/>
      <c r="C24" s="14"/>
      <c r="D24" s="14"/>
      <c r="E24" s="14"/>
      <c r="F24" s="23"/>
      <c r="G24" s="13"/>
      <c r="H24" s="13"/>
    </row>
    <row r="25" spans="1:10" ht="7.9" customHeight="1" x14ac:dyDescent="0.15">
      <c r="A25" s="130"/>
      <c r="B25" s="291"/>
      <c r="C25" s="291"/>
      <c r="D25" s="291"/>
      <c r="E25" s="291"/>
      <c r="F25" s="291"/>
      <c r="G25" s="13"/>
      <c r="H25" s="13"/>
      <c r="I25" s="173"/>
      <c r="J25" s="244"/>
    </row>
    <row r="26" spans="1:10" ht="7.9" customHeight="1" x14ac:dyDescent="0.15">
      <c r="A26" s="99"/>
      <c r="B26" s="65"/>
      <c r="C26" s="65"/>
      <c r="D26" s="65"/>
      <c r="E26" s="65"/>
      <c r="F26" s="65"/>
      <c r="G26" s="65"/>
      <c r="H26" s="66"/>
      <c r="I26" s="173"/>
      <c r="J26" s="244"/>
    </row>
    <row r="27" spans="1:10" ht="7.9" customHeight="1" x14ac:dyDescent="0.15">
      <c r="A27" s="99"/>
      <c r="J27" s="244"/>
    </row>
    <row r="28" spans="1:10" ht="7.9" customHeight="1" x14ac:dyDescent="0.15">
      <c r="A28" s="387" t="s">
        <v>176</v>
      </c>
      <c r="J28" s="244"/>
    </row>
    <row r="29" spans="1:10" ht="7.9" customHeight="1" x14ac:dyDescent="0.15">
      <c r="A29" s="387" t="s">
        <v>173</v>
      </c>
      <c r="B29" s="668">
        <v>146913</v>
      </c>
      <c r="C29" s="668">
        <v>87901</v>
      </c>
      <c r="D29" s="668">
        <v>32917</v>
      </c>
      <c r="E29" s="668">
        <v>58268</v>
      </c>
      <c r="F29" s="668">
        <v>68564</v>
      </c>
      <c r="G29" s="668">
        <v>394563</v>
      </c>
      <c r="H29" s="669">
        <v>6805243</v>
      </c>
      <c r="I29" s="173"/>
      <c r="J29" s="244"/>
    </row>
    <row r="30" spans="1:10" ht="7.9" customHeight="1" x14ac:dyDescent="0.15">
      <c r="A30" s="387" t="s">
        <v>174</v>
      </c>
      <c r="B30" s="668">
        <v>125957</v>
      </c>
      <c r="C30" s="668">
        <v>73022</v>
      </c>
      <c r="D30" s="668">
        <v>26823</v>
      </c>
      <c r="E30" s="668">
        <v>50778</v>
      </c>
      <c r="F30" s="668">
        <v>55662</v>
      </c>
      <c r="G30" s="668">
        <v>332242</v>
      </c>
      <c r="H30" s="669">
        <v>5880377</v>
      </c>
      <c r="I30" s="173"/>
      <c r="J30" s="244"/>
    </row>
    <row r="31" spans="1:10" ht="7.9" customHeight="1" x14ac:dyDescent="0.15">
      <c r="A31" s="387" t="s">
        <v>175</v>
      </c>
      <c r="B31" s="668">
        <v>272870</v>
      </c>
      <c r="C31" s="668">
        <v>160923</v>
      </c>
      <c r="D31" s="668">
        <v>59740</v>
      </c>
      <c r="E31" s="668">
        <v>109046</v>
      </c>
      <c r="F31" s="668">
        <v>124226</v>
      </c>
      <c r="G31" s="668">
        <v>726805</v>
      </c>
      <c r="H31" s="668">
        <v>12685620</v>
      </c>
      <c r="I31" s="173"/>
      <c r="J31" s="244"/>
    </row>
    <row r="32" spans="1:10" ht="9.9499999999999993" customHeight="1" x14ac:dyDescent="0.15">
      <c r="B32" s="65"/>
      <c r="C32" s="65"/>
      <c r="D32" s="65"/>
      <c r="E32" s="65"/>
      <c r="F32" s="65"/>
      <c r="G32" s="65"/>
      <c r="H32" s="66"/>
      <c r="I32" s="173"/>
      <c r="J32" s="244"/>
    </row>
    <row r="33" spans="1:10" ht="9.9499999999999993" customHeight="1" x14ac:dyDescent="0.15">
      <c r="J33" s="244"/>
    </row>
    <row r="34" spans="1:10" ht="9.9499999999999993" customHeight="1" x14ac:dyDescent="0.15">
      <c r="A34" s="65"/>
      <c r="J34" s="244"/>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T42"/>
  <sheetViews>
    <sheetView zoomScale="140" zoomScaleNormal="140" workbookViewId="0">
      <selection sqref="A1:H1"/>
    </sheetView>
  </sheetViews>
  <sheetFormatPr baseColWidth="10" defaultRowHeight="9.9499999999999993" customHeight="1" x14ac:dyDescent="0.15"/>
  <cols>
    <col min="1" max="1" width="28.42578125" style="53" customWidth="1"/>
    <col min="2" max="2" width="6.7109375" style="53" customWidth="1"/>
    <col min="3" max="3" width="6.140625" style="53" bestFit="1" customWidth="1"/>
    <col min="4" max="6" width="6.7109375" style="53" customWidth="1"/>
    <col min="7" max="7" width="6.85546875" style="53" customWidth="1"/>
    <col min="8" max="8" width="9.85546875" style="54" customWidth="1"/>
    <col min="9" max="10" width="7.28515625" style="241" customWidth="1"/>
    <col min="11" max="11" width="23.5703125" style="241" customWidth="1"/>
    <col min="12" max="12" width="11.42578125" style="241" customWidth="1"/>
    <col min="13" max="16384" width="11.42578125" style="53"/>
  </cols>
  <sheetData>
    <row r="1" spans="1:20" ht="15" customHeight="1" x14ac:dyDescent="0.15">
      <c r="A1" s="1019" t="s">
        <v>343</v>
      </c>
      <c r="B1" s="1019"/>
      <c r="C1" s="1019"/>
      <c r="D1" s="1019"/>
      <c r="E1" s="1019"/>
      <c r="F1" s="1019"/>
      <c r="G1" s="1019"/>
      <c r="H1" s="1019"/>
      <c r="I1" s="173"/>
      <c r="J1" s="173"/>
      <c r="K1" s="173"/>
      <c r="L1" s="173"/>
      <c r="M1" s="65"/>
      <c r="N1" s="65"/>
      <c r="O1" s="65"/>
      <c r="P1" s="65"/>
      <c r="Q1" s="65"/>
      <c r="R1" s="65"/>
      <c r="S1" s="65"/>
      <c r="T1" s="65"/>
    </row>
    <row r="2" spans="1:20" ht="9.9499999999999993" customHeight="1" x14ac:dyDescent="0.15">
      <c r="A2" s="1021" t="s">
        <v>817</v>
      </c>
      <c r="B2" s="1021"/>
      <c r="C2" s="1021"/>
      <c r="D2" s="1021"/>
      <c r="E2" s="1021"/>
      <c r="F2" s="1021"/>
      <c r="G2" s="1021"/>
      <c r="H2" s="1021"/>
      <c r="I2" s="173"/>
      <c r="J2" s="173"/>
      <c r="K2" s="173"/>
      <c r="L2" s="173"/>
      <c r="M2" s="65"/>
      <c r="N2" s="65"/>
      <c r="O2" s="65"/>
      <c r="P2" s="65"/>
      <c r="Q2" s="65"/>
      <c r="R2" s="65"/>
      <c r="S2" s="65"/>
      <c r="T2" s="65"/>
    </row>
    <row r="3" spans="1:20" ht="7.9" customHeight="1" x14ac:dyDescent="0.15">
      <c r="A3" s="58"/>
      <c r="I3" s="173"/>
      <c r="J3" s="173"/>
      <c r="K3" s="173"/>
      <c r="L3" s="173"/>
      <c r="M3" s="65"/>
      <c r="N3" s="65"/>
      <c r="O3" s="65"/>
      <c r="P3" s="65"/>
      <c r="Q3" s="65"/>
      <c r="R3" s="65"/>
      <c r="S3" s="65"/>
      <c r="T3" s="65"/>
    </row>
    <row r="4" spans="1:20" ht="20.100000000000001" customHeight="1" x14ac:dyDescent="0.15">
      <c r="A4" s="78"/>
      <c r="B4" s="22" t="s">
        <v>374</v>
      </c>
      <c r="C4" s="22" t="s">
        <v>375</v>
      </c>
      <c r="D4" s="22" t="s">
        <v>376</v>
      </c>
      <c r="E4" s="22" t="s">
        <v>377</v>
      </c>
      <c r="F4" s="22" t="s">
        <v>378</v>
      </c>
      <c r="G4" s="23" t="s">
        <v>379</v>
      </c>
      <c r="H4" s="88" t="s">
        <v>388</v>
      </c>
      <c r="I4" s="173"/>
      <c r="J4" s="173"/>
      <c r="K4" s="173"/>
      <c r="L4" s="173"/>
      <c r="M4" s="65"/>
      <c r="N4" s="65"/>
      <c r="O4" s="65"/>
      <c r="P4" s="65"/>
      <c r="Q4" s="65"/>
      <c r="R4" s="65"/>
      <c r="S4" s="65"/>
      <c r="T4" s="65"/>
    </row>
    <row r="5" spans="1:20" s="55" customFormat="1" ht="7.9" customHeight="1" x14ac:dyDescent="0.25">
      <c r="A5" s="919" t="s">
        <v>7</v>
      </c>
      <c r="B5" s="936"/>
      <c r="C5" s="936"/>
      <c r="D5" s="936"/>
      <c r="E5" s="936"/>
      <c r="F5" s="946"/>
      <c r="G5" s="936"/>
      <c r="H5" s="947"/>
      <c r="I5" s="327"/>
      <c r="J5" s="327"/>
      <c r="K5" s="327"/>
      <c r="L5" s="327"/>
      <c r="M5" s="92"/>
      <c r="N5" s="92"/>
      <c r="O5" s="92"/>
      <c r="P5" s="92"/>
      <c r="Q5" s="92"/>
      <c r="R5" s="92"/>
      <c r="S5" s="92"/>
      <c r="T5" s="92"/>
    </row>
    <row r="6" spans="1:20" s="55" customFormat="1" ht="7.9" customHeight="1" x14ac:dyDescent="0.15">
      <c r="A6" s="61" t="s">
        <v>737</v>
      </c>
      <c r="B6" s="185">
        <v>3500</v>
      </c>
      <c r="C6" s="185">
        <v>2005</v>
      </c>
      <c r="D6" s="185">
        <v>1520</v>
      </c>
      <c r="E6" s="185">
        <v>1730</v>
      </c>
      <c r="F6" s="363">
        <v>2380</v>
      </c>
      <c r="G6" s="189">
        <f>SUM(B6:F6)</f>
        <v>11135</v>
      </c>
      <c r="H6" s="379">
        <v>226079</v>
      </c>
      <c r="I6" s="327"/>
      <c r="J6" s="327"/>
      <c r="K6" s="327"/>
      <c r="L6" s="327"/>
      <c r="M6" s="92"/>
      <c r="N6" s="92"/>
      <c r="O6" s="92"/>
      <c r="P6" s="92"/>
      <c r="Q6" s="92"/>
      <c r="R6" s="92"/>
      <c r="S6" s="92"/>
      <c r="T6" s="92"/>
    </row>
    <row r="7" spans="1:20" s="92" customFormat="1" ht="7.9" customHeight="1" x14ac:dyDescent="0.15">
      <c r="A7" s="134" t="s">
        <v>767</v>
      </c>
      <c r="B7" s="334">
        <v>1.8320727305012611E-2</v>
      </c>
      <c r="C7" s="334">
        <v>1.7931000694775698E-2</v>
      </c>
      <c r="D7" s="334">
        <v>3.6462911199186439E-2</v>
      </c>
      <c r="E7" s="334">
        <v>2.1740137233061792E-2</v>
      </c>
      <c r="F7" s="334">
        <v>2.7168806482652838E-2</v>
      </c>
      <c r="G7" s="386">
        <v>2.1759906878776304E-2</v>
      </c>
      <c r="H7" s="334">
        <v>2.5027458226309134E-2</v>
      </c>
      <c r="I7" s="327"/>
      <c r="J7" s="327"/>
      <c r="K7" s="327"/>
      <c r="L7" s="327"/>
      <c r="M7" s="782"/>
    </row>
    <row r="8" spans="1:20" s="92" customFormat="1" ht="7.9" customHeight="1" x14ac:dyDescent="0.15">
      <c r="A8" s="134"/>
      <c r="B8" s="334"/>
      <c r="C8" s="334"/>
      <c r="D8" s="334"/>
      <c r="E8" s="334"/>
      <c r="F8" s="334"/>
      <c r="G8" s="386"/>
      <c r="H8" s="334"/>
      <c r="I8" s="327"/>
      <c r="J8" s="327"/>
      <c r="K8" s="327"/>
      <c r="L8" s="327"/>
    </row>
    <row r="9" spans="1:20" s="55" customFormat="1" ht="7.9" customHeight="1" x14ac:dyDescent="0.15">
      <c r="A9" s="64" t="s">
        <v>169</v>
      </c>
      <c r="B9" s="1031">
        <v>6107</v>
      </c>
      <c r="C9" s="1031">
        <v>3847</v>
      </c>
      <c r="D9" s="1031">
        <v>1592</v>
      </c>
      <c r="E9" s="1031">
        <v>2843</v>
      </c>
      <c r="F9" s="1031">
        <v>3663</v>
      </c>
      <c r="G9" s="1028">
        <f>SUM(B9:F10)</f>
        <v>18052</v>
      </c>
      <c r="H9" s="1029">
        <v>310108</v>
      </c>
      <c r="I9" s="327"/>
      <c r="J9" s="327"/>
      <c r="K9" s="345"/>
      <c r="L9" s="327"/>
      <c r="M9" s="92"/>
      <c r="N9" s="92"/>
      <c r="O9" s="92"/>
      <c r="P9" s="92"/>
      <c r="Q9" s="92"/>
      <c r="R9" s="92"/>
      <c r="S9" s="92"/>
      <c r="T9" s="92"/>
    </row>
    <row r="10" spans="1:20" s="55" customFormat="1" ht="7.9" customHeight="1" x14ac:dyDescent="0.15">
      <c r="A10" s="64" t="s">
        <v>818</v>
      </c>
      <c r="B10" s="1031"/>
      <c r="C10" s="1031"/>
      <c r="D10" s="1031"/>
      <c r="E10" s="1031"/>
      <c r="F10" s="1031"/>
      <c r="G10" s="1028"/>
      <c r="H10" s="1030"/>
      <c r="I10" s="327"/>
      <c r="J10" s="327"/>
      <c r="K10" s="327"/>
      <c r="L10" s="327"/>
      <c r="M10" s="92"/>
      <c r="N10" s="92"/>
      <c r="O10" s="92"/>
      <c r="P10" s="92"/>
      <c r="Q10" s="92"/>
      <c r="R10" s="92"/>
      <c r="S10" s="92"/>
      <c r="T10" s="92"/>
    </row>
    <row r="11" spans="1:20" s="55" customFormat="1" ht="7.9" customHeight="1" x14ac:dyDescent="0.15">
      <c r="A11" s="134" t="s">
        <v>550</v>
      </c>
      <c r="B11" s="96">
        <f>B9/'page 7 Démo'!B17*1000</f>
        <v>4.545461311849758</v>
      </c>
      <c r="C11" s="96">
        <f>C9/'page 7 Démo'!C17*1000</f>
        <v>4.7800101887401993</v>
      </c>
      <c r="D11" s="96">
        <f>D9/'page 7 Démo'!D17*1000</f>
        <v>5.1725258301384098</v>
      </c>
      <c r="E11" s="96">
        <f>E9/'page 7 Démo'!E17*1000</f>
        <v>4.9834178218099465</v>
      </c>
      <c r="F11" s="96">
        <f>F9/'page 7 Démo'!F17*1000</f>
        <v>5.5350637144312094</v>
      </c>
      <c r="G11" s="665">
        <f>G9/'page 7 Démo'!G17*1000</f>
        <v>4.894261768175423</v>
      </c>
      <c r="H11" s="96">
        <f>H9/'page 7 Démo'!H17*1000</f>
        <v>4.8467947539934544</v>
      </c>
      <c r="I11" s="327"/>
      <c r="J11" s="327"/>
      <c r="K11" s="327"/>
      <c r="L11" s="327"/>
      <c r="M11" s="92"/>
      <c r="N11" s="92"/>
      <c r="O11" s="92"/>
      <c r="P11" s="92"/>
      <c r="Q11" s="92"/>
      <c r="R11" s="92"/>
      <c r="S11" s="92"/>
      <c r="T11" s="92"/>
    </row>
    <row r="12" spans="1:20" s="55" customFormat="1" ht="7.9" customHeight="1" x14ac:dyDescent="0.15">
      <c r="A12" s="134"/>
      <c r="B12" s="380"/>
      <c r="C12" s="380"/>
      <c r="D12" s="381"/>
      <c r="E12" s="381"/>
      <c r="F12" s="381"/>
      <c r="G12" s="178"/>
      <c r="H12" s="382"/>
      <c r="I12" s="327"/>
      <c r="J12" s="327"/>
      <c r="K12" s="327"/>
      <c r="L12" s="327"/>
      <c r="M12" s="92"/>
      <c r="N12" s="92"/>
      <c r="O12" s="92"/>
      <c r="P12" s="92"/>
      <c r="Q12" s="92"/>
      <c r="R12" s="92"/>
      <c r="S12" s="92"/>
      <c r="T12" s="92"/>
    </row>
    <row r="13" spans="1:20" s="55" customFormat="1" ht="7.9" customHeight="1" x14ac:dyDescent="0.15">
      <c r="A13" s="64" t="s">
        <v>308</v>
      </c>
      <c r="B13" s="395">
        <v>20414</v>
      </c>
      <c r="C13" s="395">
        <v>11208</v>
      </c>
      <c r="D13" s="395">
        <v>3845</v>
      </c>
      <c r="E13" s="395">
        <v>7860</v>
      </c>
      <c r="F13" s="395">
        <v>9293</v>
      </c>
      <c r="G13" s="403">
        <f>SUM(B13:F13)</f>
        <v>52620</v>
      </c>
      <c r="H13" s="394">
        <v>1027127</v>
      </c>
      <c r="I13" s="327"/>
      <c r="J13" s="327"/>
      <c r="K13" s="327"/>
      <c r="L13" s="327"/>
      <c r="M13" s="92"/>
      <c r="N13" s="92"/>
      <c r="O13" s="92"/>
      <c r="P13" s="92"/>
      <c r="Q13" s="92"/>
      <c r="R13" s="92"/>
      <c r="S13" s="92"/>
      <c r="T13" s="92"/>
    </row>
    <row r="14" spans="1:20" s="55" customFormat="1" ht="7.9" customHeight="1" x14ac:dyDescent="0.15">
      <c r="A14" s="134" t="s">
        <v>139</v>
      </c>
      <c r="B14" s="334">
        <f>B13/SUM('page 7 Démo'!B10:B13)</f>
        <v>2.6459799613744475E-2</v>
      </c>
      <c r="C14" s="334">
        <f>C13/SUM('page 7 Démo'!C10:C13)</f>
        <v>2.4951635057848701E-2</v>
      </c>
      <c r="D14" s="334">
        <f>D13/SUM('page 7 Démo'!D10:D13)</f>
        <v>2.2939200677735552E-2</v>
      </c>
      <c r="E14" s="334">
        <f>E13/SUM('page 7 Démo'!E10:E13)</f>
        <v>2.4930062610615259E-2</v>
      </c>
      <c r="F14" s="334">
        <f>F13/SUM('page 7 Démo'!F10:F13)</f>
        <v>2.560584142729214E-2</v>
      </c>
      <c r="G14" s="594">
        <f>G13/SUM('page 7 Démo'!G10:G13)</f>
        <v>2.5463060415974077E-2</v>
      </c>
      <c r="H14" s="334">
        <f>H13/SUM('page 7 Démo'!H10:H13)</f>
        <v>2.794082207294667E-2</v>
      </c>
      <c r="I14" s="327"/>
      <c r="J14" s="327"/>
      <c r="K14" s="327"/>
      <c r="L14" s="327"/>
      <c r="M14" s="92"/>
      <c r="N14" s="92"/>
      <c r="O14" s="92"/>
      <c r="P14" s="92"/>
      <c r="Q14" s="92"/>
      <c r="R14" s="92"/>
      <c r="S14" s="92"/>
      <c r="T14" s="92"/>
    </row>
    <row r="15" spans="1:20" s="55" customFormat="1" ht="8.4499999999999993" customHeight="1" x14ac:dyDescent="0.15">
      <c r="A15" s="134"/>
      <c r="B15" s="191"/>
      <c r="C15" s="191"/>
      <c r="D15" s="191"/>
      <c r="E15" s="191"/>
      <c r="F15" s="191"/>
      <c r="G15" s="595"/>
      <c r="H15" s="191"/>
      <c r="I15" s="327"/>
      <c r="J15" s="327"/>
      <c r="K15" s="327"/>
      <c r="L15" s="327"/>
      <c r="M15" s="92"/>
      <c r="N15" s="92"/>
      <c r="O15" s="92"/>
      <c r="P15" s="92"/>
      <c r="Q15" s="92"/>
      <c r="R15" s="92"/>
      <c r="S15" s="92"/>
      <c r="T15" s="92"/>
    </row>
    <row r="16" spans="1:20" ht="7.9" customHeight="1" x14ac:dyDescent="0.25">
      <c r="A16" s="64" t="s">
        <v>903</v>
      </c>
      <c r="B16" s="399">
        <v>20837</v>
      </c>
      <c r="C16" s="399">
        <v>12802</v>
      </c>
      <c r="D16" s="399">
        <v>6111</v>
      </c>
      <c r="E16" s="399">
        <v>10727</v>
      </c>
      <c r="F16" s="399">
        <v>13678</v>
      </c>
      <c r="G16" s="426">
        <f>SUM(B16:F16)</f>
        <v>64155</v>
      </c>
      <c r="H16" s="399">
        <v>1221148</v>
      </c>
      <c r="I16" s="173"/>
      <c r="J16" s="173"/>
      <c r="K16" s="350"/>
      <c r="L16" s="173"/>
      <c r="M16" s="65"/>
      <c r="N16" s="65"/>
      <c r="O16" s="65"/>
      <c r="P16" s="65"/>
      <c r="Q16" s="65"/>
      <c r="R16" s="65"/>
      <c r="S16" s="65"/>
      <c r="T16" s="65"/>
    </row>
    <row r="17" spans="1:20" ht="7.9" customHeight="1" x14ac:dyDescent="0.15">
      <c r="A17" s="86" t="s">
        <v>759</v>
      </c>
      <c r="B17" s="405">
        <f>(B16/(SUM('page 7 Démo'!B15:B16)))</f>
        <v>0.18528365641116842</v>
      </c>
      <c r="C17" s="405">
        <f>(C16/(SUM('page 7 Démo'!C15:C16)))</f>
        <v>0.17060007196066151</v>
      </c>
      <c r="D17" s="405">
        <f>(D16/(SUM('page 7 Démo'!D15:D16)))</f>
        <v>0.18026548672566373</v>
      </c>
      <c r="E17" s="405">
        <f>(E16/(SUM('page 7 Démo'!E15:E16)))</f>
        <v>0.18029480478007295</v>
      </c>
      <c r="F17" s="405">
        <f>(F16/(SUM('page 7 Démo'!F15:F16)))</f>
        <v>0.19252315401289305</v>
      </c>
      <c r="G17" s="182">
        <f>(G16/(SUM('page 7 Démo'!G15:G16)))</f>
        <v>0.18228752301502513</v>
      </c>
      <c r="H17" s="405">
        <f>(H16/(SUM('page 7 Démo'!H15:H16)))</f>
        <v>0.20752262461701762</v>
      </c>
      <c r="I17" s="173"/>
      <c r="J17" s="173"/>
      <c r="K17" s="173"/>
      <c r="L17" s="173"/>
      <c r="M17" s="65"/>
      <c r="N17" s="65"/>
      <c r="O17" s="65"/>
      <c r="P17" s="65"/>
      <c r="Q17" s="65"/>
      <c r="R17" s="65"/>
      <c r="S17" s="65"/>
      <c r="T17" s="65"/>
    </row>
    <row r="18" spans="1:20" ht="7.9" customHeight="1" thickBot="1" x14ac:dyDescent="0.2">
      <c r="A18" s="1008"/>
      <c r="B18" s="1009"/>
      <c r="C18" s="1009"/>
      <c r="D18" s="1009"/>
      <c r="E18" s="1009"/>
      <c r="F18" s="1009"/>
      <c r="G18" s="1010"/>
      <c r="H18" s="1009"/>
      <c r="I18" s="173"/>
      <c r="J18" s="173"/>
      <c r="K18" s="173"/>
      <c r="L18" s="173"/>
      <c r="M18" s="65"/>
      <c r="N18" s="65"/>
      <c r="O18" s="65"/>
      <c r="P18" s="65"/>
      <c r="Q18" s="65"/>
      <c r="R18" s="65"/>
      <c r="S18" s="65"/>
      <c r="T18" s="65"/>
    </row>
    <row r="19" spans="1:20" ht="7.9" customHeight="1" thickTop="1" x14ac:dyDescent="0.15">
      <c r="A19" s="13" t="s">
        <v>214</v>
      </c>
      <c r="B19" s="13"/>
      <c r="C19" s="13"/>
      <c r="D19" s="13"/>
      <c r="E19" s="13"/>
      <c r="F19" s="13"/>
      <c r="G19" s="13"/>
      <c r="H19" s="13"/>
      <c r="I19" s="173"/>
      <c r="J19" s="173"/>
      <c r="K19" s="173"/>
      <c r="L19" s="173"/>
      <c r="M19" s="65"/>
      <c r="N19" s="65"/>
      <c r="O19" s="65"/>
      <c r="P19" s="65"/>
      <c r="Q19" s="65"/>
      <c r="R19" s="65"/>
      <c r="S19" s="65"/>
      <c r="T19" s="65"/>
    </row>
    <row r="20" spans="1:20" ht="7.9" customHeight="1" x14ac:dyDescent="0.15">
      <c r="A20" s="86" t="s">
        <v>344</v>
      </c>
      <c r="G20" s="292"/>
      <c r="I20" s="173"/>
      <c r="J20" s="173"/>
      <c r="K20" s="173"/>
      <c r="L20" s="173"/>
      <c r="M20" s="65"/>
      <c r="N20" s="65"/>
      <c r="O20" s="65"/>
      <c r="P20" s="65"/>
      <c r="Q20" s="65"/>
      <c r="R20" s="65"/>
      <c r="S20" s="65"/>
      <c r="T20" s="65"/>
    </row>
    <row r="21" spans="1:20" ht="7.9" customHeight="1" x14ac:dyDescent="0.15">
      <c r="A21" s="86" t="s">
        <v>228</v>
      </c>
      <c r="I21" s="173"/>
      <c r="J21" s="173"/>
      <c r="K21" s="173"/>
      <c r="L21" s="173"/>
      <c r="M21" s="65"/>
      <c r="N21" s="65"/>
      <c r="O21" s="65"/>
      <c r="P21" s="65"/>
      <c r="Q21" s="65"/>
      <c r="R21" s="65"/>
      <c r="S21" s="65"/>
      <c r="T21" s="65"/>
    </row>
    <row r="22" spans="1:20" ht="7.9" customHeight="1" x14ac:dyDescent="0.15">
      <c r="A22" s="86" t="s">
        <v>229</v>
      </c>
      <c r="I22" s="173"/>
      <c r="J22" s="173"/>
      <c r="K22" s="173"/>
      <c r="L22" s="173"/>
      <c r="M22" s="65"/>
      <c r="N22" s="65"/>
      <c r="O22" s="65"/>
      <c r="P22" s="65"/>
      <c r="Q22" s="65"/>
      <c r="R22" s="65"/>
      <c r="S22" s="65"/>
      <c r="T22" s="65"/>
    </row>
    <row r="23" spans="1:20" ht="7.9" customHeight="1" x14ac:dyDescent="0.15">
      <c r="A23" s="134" t="s">
        <v>904</v>
      </c>
      <c r="I23" s="173"/>
      <c r="J23" s="173"/>
      <c r="K23" s="173"/>
      <c r="L23" s="173"/>
      <c r="M23" s="65"/>
      <c r="N23" s="65"/>
      <c r="O23" s="65"/>
      <c r="P23" s="65"/>
      <c r="Q23" s="65"/>
      <c r="R23" s="65"/>
      <c r="S23" s="65"/>
      <c r="T23" s="65"/>
    </row>
    <row r="24" spans="1:20" ht="7.9" customHeight="1" x14ac:dyDescent="0.15"/>
    <row r="25" spans="1:20" ht="7.9" customHeight="1" x14ac:dyDescent="0.15"/>
    <row r="26" spans="1:20" ht="7.9" customHeight="1" x14ac:dyDescent="0.15"/>
    <row r="27" spans="1:20" ht="7.9" customHeight="1" x14ac:dyDescent="0.15"/>
    <row r="28" spans="1:20" ht="7.9" customHeight="1" x14ac:dyDescent="0.15"/>
    <row r="29" spans="1:20" ht="7.9" customHeight="1" x14ac:dyDescent="0.15"/>
    <row r="30" spans="1:20" ht="9.9499999999999993" customHeight="1" x14ac:dyDescent="0.15">
      <c r="E30" s="13"/>
    </row>
    <row r="31" spans="1:20" ht="9.9499999999999993" customHeight="1" x14ac:dyDescent="0.2">
      <c r="E31" s="475"/>
    </row>
    <row r="32" spans="1:20" ht="9.9499999999999993" customHeight="1" x14ac:dyDescent="0.2">
      <c r="E32" s="476"/>
    </row>
    <row r="42" spans="4:4" ht="9.9499999999999993" customHeight="1" x14ac:dyDescent="0.15">
      <c r="D42" s="53" t="s">
        <v>248</v>
      </c>
    </row>
  </sheetData>
  <mergeCells count="9">
    <mergeCell ref="A1:H1"/>
    <mergeCell ref="A2:H2"/>
    <mergeCell ref="G9:G10"/>
    <mergeCell ref="H9:H10"/>
    <mergeCell ref="F9:F10"/>
    <mergeCell ref="B9:B10"/>
    <mergeCell ref="C9:C10"/>
    <mergeCell ref="D9:D10"/>
    <mergeCell ref="E9:E10"/>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colBreaks count="1" manualBreakCount="1">
    <brk id="8"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L30"/>
  <sheetViews>
    <sheetView zoomScale="140" zoomScaleNormal="140" workbookViewId="0">
      <selection sqref="A1:H1"/>
    </sheetView>
  </sheetViews>
  <sheetFormatPr baseColWidth="10" defaultRowHeight="9.9499999999999993" customHeight="1" x14ac:dyDescent="0.15"/>
  <cols>
    <col min="1" max="1" width="24" style="53" customWidth="1"/>
    <col min="2" max="2" width="6.7109375" style="53" customWidth="1"/>
    <col min="3" max="3" width="7" style="53" bestFit="1" customWidth="1"/>
    <col min="4" max="6" width="6.7109375" style="53" customWidth="1"/>
    <col min="7" max="7" width="6.85546875" style="53" customWidth="1"/>
    <col min="8" max="8" width="10" style="54" customWidth="1"/>
    <col min="9" max="10" width="7.28515625" style="241" customWidth="1"/>
    <col min="11" max="11" width="23.5703125" style="241" customWidth="1"/>
    <col min="12" max="12" width="11.42578125" style="241" customWidth="1"/>
    <col min="13" max="16384" width="11.42578125" style="53"/>
  </cols>
  <sheetData>
    <row r="1" spans="1:12" ht="15" customHeight="1" x14ac:dyDescent="0.15">
      <c r="A1" s="1019" t="s">
        <v>9</v>
      </c>
      <c r="B1" s="1019"/>
      <c r="C1" s="1019"/>
      <c r="D1" s="1019"/>
      <c r="E1" s="1019"/>
      <c r="F1" s="1019"/>
      <c r="G1" s="1019"/>
      <c r="H1" s="1019"/>
      <c r="I1" s="245"/>
    </row>
    <row r="2" spans="1:12" ht="9.9499999999999993" customHeight="1" x14ac:dyDescent="0.15">
      <c r="A2" s="1021" t="s">
        <v>699</v>
      </c>
      <c r="B2" s="1021"/>
      <c r="C2" s="1021"/>
      <c r="D2" s="1021"/>
      <c r="E2" s="1021"/>
      <c r="F2" s="1021"/>
      <c r="G2" s="1021"/>
      <c r="H2" s="1021"/>
      <c r="I2" s="173"/>
      <c r="J2" s="173"/>
    </row>
    <row r="3" spans="1:12" ht="7.9" customHeight="1" x14ac:dyDescent="0.15">
      <c r="A3" s="58"/>
    </row>
    <row r="4" spans="1:12" ht="20.100000000000001" customHeight="1" x14ac:dyDescent="0.15">
      <c r="A4" s="78"/>
      <c r="B4" s="22" t="s">
        <v>374</v>
      </c>
      <c r="C4" s="22" t="s">
        <v>375</v>
      </c>
      <c r="D4" s="22" t="s">
        <v>376</v>
      </c>
      <c r="E4" s="22" t="s">
        <v>377</v>
      </c>
      <c r="F4" s="22" t="s">
        <v>378</v>
      </c>
      <c r="G4" s="23" t="s">
        <v>379</v>
      </c>
      <c r="H4" s="88" t="s">
        <v>388</v>
      </c>
    </row>
    <row r="5" spans="1:12" ht="7.9" customHeight="1" x14ac:dyDescent="0.15">
      <c r="A5" s="78"/>
      <c r="B5" s="22"/>
      <c r="C5" s="22"/>
      <c r="D5" s="22"/>
      <c r="E5" s="22"/>
      <c r="F5" s="22"/>
      <c r="G5" s="23"/>
      <c r="H5" s="88"/>
    </row>
    <row r="6" spans="1:12" s="55" customFormat="1" ht="7.9" customHeight="1" x14ac:dyDescent="0.15">
      <c r="A6" s="948" t="s">
        <v>114</v>
      </c>
      <c r="B6" s="949"/>
      <c r="C6" s="949"/>
      <c r="D6" s="949"/>
      <c r="E6" s="949"/>
      <c r="F6" s="949"/>
      <c r="G6" s="949"/>
      <c r="H6" s="947"/>
      <c r="I6" s="738"/>
      <c r="J6" s="158"/>
      <c r="K6" s="158"/>
      <c r="L6" s="158"/>
    </row>
    <row r="7" spans="1:12" s="92" customFormat="1" ht="7.9" customHeight="1" x14ac:dyDescent="0.15">
      <c r="A7" s="148"/>
      <c r="B7" s="176"/>
      <c r="C7" s="176"/>
      <c r="D7" s="176"/>
      <c r="E7" s="176"/>
      <c r="F7" s="176"/>
      <c r="G7" s="176"/>
      <c r="H7" s="189"/>
      <c r="I7" s="704"/>
      <c r="J7" s="327"/>
      <c r="K7" s="327"/>
      <c r="L7" s="327"/>
    </row>
    <row r="8" spans="1:12" s="92" customFormat="1" ht="7.9" customHeight="1" x14ac:dyDescent="0.15">
      <c r="A8" s="101" t="s">
        <v>819</v>
      </c>
      <c r="B8" s="103">
        <v>6033</v>
      </c>
      <c r="C8" s="103">
        <v>5338</v>
      </c>
      <c r="D8" s="103">
        <v>2482</v>
      </c>
      <c r="E8" s="103">
        <v>3495</v>
      </c>
      <c r="F8" s="103">
        <v>3620</v>
      </c>
      <c r="G8" s="176">
        <f>SUM(B8:F8)</f>
        <v>20968</v>
      </c>
      <c r="H8" s="185" t="s">
        <v>239</v>
      </c>
      <c r="I8" s="338"/>
      <c r="J8" s="327"/>
      <c r="K8" s="327"/>
      <c r="L8" s="327"/>
    </row>
    <row r="9" spans="1:12" s="92" customFormat="1" ht="7.9" customHeight="1" x14ac:dyDescent="0.15">
      <c r="A9" s="101"/>
      <c r="B9" s="103"/>
      <c r="C9" s="103"/>
      <c r="D9" s="103"/>
      <c r="E9" s="103"/>
      <c r="F9" s="103"/>
      <c r="G9" s="176"/>
      <c r="H9" s="185"/>
      <c r="I9" s="338"/>
      <c r="J9" s="327"/>
      <c r="K9" s="327"/>
      <c r="L9" s="327"/>
    </row>
    <row r="10" spans="1:12" s="55" customFormat="1" ht="7.9" customHeight="1" x14ac:dyDescent="0.15">
      <c r="A10" s="39" t="s">
        <v>115</v>
      </c>
      <c r="B10" s="103">
        <v>514</v>
      </c>
      <c r="C10" s="103">
        <v>487</v>
      </c>
      <c r="D10" s="103">
        <v>287</v>
      </c>
      <c r="E10" s="103">
        <v>347</v>
      </c>
      <c r="F10" s="103">
        <v>366</v>
      </c>
      <c r="G10" s="176">
        <f>SUM(B10:F10)</f>
        <v>2001</v>
      </c>
      <c r="H10" s="185" t="s">
        <v>239</v>
      </c>
      <c r="I10" s="338"/>
      <c r="J10" s="327"/>
      <c r="K10" s="158"/>
      <c r="L10" s="158"/>
    </row>
    <row r="11" spans="1:12" s="55" customFormat="1" ht="7.9" customHeight="1" x14ac:dyDescent="0.15">
      <c r="A11" s="18" t="s">
        <v>345</v>
      </c>
      <c r="B11" s="103">
        <v>562</v>
      </c>
      <c r="C11" s="103">
        <v>430</v>
      </c>
      <c r="D11" s="103">
        <v>198</v>
      </c>
      <c r="E11" s="103">
        <v>254</v>
      </c>
      <c r="F11" s="103">
        <v>303</v>
      </c>
      <c r="G11" s="176">
        <f>SUM(B11:F11)</f>
        <v>1747</v>
      </c>
      <c r="H11" s="185" t="s">
        <v>239</v>
      </c>
      <c r="I11" s="338"/>
      <c r="J11" s="327"/>
      <c r="K11" s="158"/>
      <c r="L11" s="158"/>
    </row>
    <row r="12" spans="1:12" s="55" customFormat="1" ht="7.9" customHeight="1" x14ac:dyDescent="0.15">
      <c r="A12" s="125" t="s">
        <v>346</v>
      </c>
      <c r="B12" s="169">
        <v>402</v>
      </c>
      <c r="C12" s="169">
        <v>173</v>
      </c>
      <c r="D12" s="169">
        <v>66</v>
      </c>
      <c r="E12" s="169">
        <v>187</v>
      </c>
      <c r="F12" s="169">
        <v>156</v>
      </c>
      <c r="G12" s="906">
        <f>SUM(B12:F12)</f>
        <v>984</v>
      </c>
      <c r="H12" s="907" t="s">
        <v>239</v>
      </c>
      <c r="I12" s="338"/>
      <c r="J12" s="327"/>
      <c r="K12" s="158"/>
      <c r="L12" s="158"/>
    </row>
    <row r="13" spans="1:12" s="55" customFormat="1" ht="7.9" customHeight="1" x14ac:dyDescent="0.15">
      <c r="I13" s="338"/>
      <c r="J13" s="327"/>
      <c r="K13" s="327"/>
      <c r="L13" s="158"/>
    </row>
    <row r="14" spans="1:12" s="55" customFormat="1" ht="7.9" customHeight="1" x14ac:dyDescent="0.15">
      <c r="A14" s="948" t="s">
        <v>8</v>
      </c>
      <c r="B14" s="949">
        <f>B15+B16</f>
        <v>7513</v>
      </c>
      <c r="C14" s="949">
        <f t="shared" ref="C14:G14" si="0">C15+C16</f>
        <v>5814</v>
      </c>
      <c r="D14" s="949">
        <f t="shared" si="0"/>
        <v>2520</v>
      </c>
      <c r="E14" s="949">
        <f t="shared" si="0"/>
        <v>4599</v>
      </c>
      <c r="F14" s="949">
        <f t="shared" si="0"/>
        <v>3880</v>
      </c>
      <c r="G14" s="949">
        <f t="shared" si="0"/>
        <v>24326</v>
      </c>
      <c r="H14" s="947" t="s">
        <v>239</v>
      </c>
      <c r="I14" s="704"/>
      <c r="J14" s="783"/>
      <c r="K14" s="158"/>
      <c r="L14" s="158"/>
    </row>
    <row r="15" spans="1:12" s="55" customFormat="1" ht="7.9" customHeight="1" x14ac:dyDescent="0.15">
      <c r="A15" s="39" t="s">
        <v>179</v>
      </c>
      <c r="B15" s="103">
        <v>6033</v>
      </c>
      <c r="C15" s="103">
        <v>5338</v>
      </c>
      <c r="D15" s="103">
        <v>2482</v>
      </c>
      <c r="E15" s="103">
        <v>3495</v>
      </c>
      <c r="F15" s="103">
        <v>3620</v>
      </c>
      <c r="G15" s="176">
        <f>SUM(B15:F15)</f>
        <v>20968</v>
      </c>
      <c r="H15" s="185" t="s">
        <v>239</v>
      </c>
      <c r="I15" s="338"/>
      <c r="J15" s="158"/>
      <c r="K15" s="158"/>
      <c r="L15" s="158"/>
    </row>
    <row r="16" spans="1:12" s="55" customFormat="1" ht="7.9" customHeight="1" x14ac:dyDescent="0.15">
      <c r="A16" s="18" t="s">
        <v>180</v>
      </c>
      <c r="B16" s="103">
        <v>1480</v>
      </c>
      <c r="C16" s="103">
        <v>476</v>
      </c>
      <c r="D16" s="103">
        <v>38</v>
      </c>
      <c r="E16" s="103">
        <v>1104</v>
      </c>
      <c r="F16" s="103">
        <v>260</v>
      </c>
      <c r="G16" s="176">
        <f>SUM(B16:F16)</f>
        <v>3358</v>
      </c>
      <c r="H16" s="185" t="s">
        <v>239</v>
      </c>
      <c r="I16" s="338"/>
      <c r="J16" s="158"/>
      <c r="K16" s="158"/>
      <c r="L16" s="158"/>
    </row>
    <row r="17" spans="1:12" s="55" customFormat="1" ht="7.9" customHeight="1" x14ac:dyDescent="0.15">
      <c r="A17" s="134" t="s">
        <v>15</v>
      </c>
      <c r="B17" s="388">
        <f t="shared" ref="B17:G17" si="1">1000*B14/B27</f>
        <v>7.1864766827384328</v>
      </c>
      <c r="C17" s="388">
        <f t="shared" si="1"/>
        <v>9.4018033868484707</v>
      </c>
      <c r="D17" s="388">
        <f t="shared" si="1"/>
        <v>10.705719318130646</v>
      </c>
      <c r="E17" s="388">
        <f t="shared" si="1"/>
        <v>10.431556604180154</v>
      </c>
      <c r="F17" s="388">
        <f t="shared" si="1"/>
        <v>7.427517574310591</v>
      </c>
      <c r="G17" s="389">
        <f t="shared" si="1"/>
        <v>8.4982502533824285</v>
      </c>
      <c r="H17" s="185" t="s">
        <v>239</v>
      </c>
      <c r="I17" s="338"/>
      <c r="J17" s="158"/>
      <c r="K17" s="158"/>
      <c r="L17" s="158"/>
    </row>
    <row r="18" spans="1:12" ht="7.9" customHeight="1" thickBot="1" x14ac:dyDescent="0.2">
      <c r="A18" s="1008"/>
      <c r="B18" s="1009"/>
      <c r="C18" s="1009"/>
      <c r="D18" s="1009"/>
      <c r="E18" s="1009"/>
      <c r="F18" s="1009"/>
      <c r="G18" s="1010"/>
      <c r="H18" s="1009"/>
    </row>
    <row r="19" spans="1:12" ht="7.9" customHeight="1" thickTop="1" x14ac:dyDescent="0.15">
      <c r="A19" s="53" t="s">
        <v>698</v>
      </c>
    </row>
    <row r="20" spans="1:12" ht="7.9" customHeight="1" x14ac:dyDescent="0.15">
      <c r="A20" s="134" t="s">
        <v>10</v>
      </c>
    </row>
    <row r="21" spans="1:12" ht="7.9" customHeight="1" x14ac:dyDescent="0.15">
      <c r="A21" s="134" t="s">
        <v>768</v>
      </c>
    </row>
    <row r="22" spans="1:12" ht="7.9" customHeight="1" x14ac:dyDescent="0.15"/>
    <row r="23" spans="1:12" ht="7.9" customHeight="1" x14ac:dyDescent="0.15"/>
    <row r="24" spans="1:12" ht="7.9" customHeight="1" x14ac:dyDescent="0.15"/>
    <row r="25" spans="1:12" ht="7.9" customHeight="1" x14ac:dyDescent="0.15"/>
    <row r="26" spans="1:12" ht="7.9" customHeight="1" x14ac:dyDescent="0.15"/>
    <row r="27" spans="1:12" ht="7.9" customHeight="1" x14ac:dyDescent="0.15">
      <c r="A27" s="387" t="s">
        <v>286</v>
      </c>
      <c r="B27" s="668">
        <v>1045435.8</v>
      </c>
      <c r="C27" s="668">
        <v>618392</v>
      </c>
      <c r="D27" s="668">
        <v>235388.2</v>
      </c>
      <c r="E27" s="668">
        <v>440873.8</v>
      </c>
      <c r="F27" s="668">
        <v>522381.8</v>
      </c>
      <c r="G27" s="668">
        <f>SUM(B27:F27)</f>
        <v>2862471.5999999996</v>
      </c>
      <c r="H27" s="668">
        <v>50223913</v>
      </c>
      <c r="I27" s="738"/>
    </row>
    <row r="28" spans="1:12" ht="7.9" customHeight="1" x14ac:dyDescent="0.15"/>
    <row r="29" spans="1:12" ht="7.9" customHeight="1" x14ac:dyDescent="0.15">
      <c r="B29" s="668"/>
      <c r="C29" s="668"/>
      <c r="D29" s="668"/>
      <c r="E29" s="668"/>
      <c r="F29" s="668"/>
      <c r="G29" s="668"/>
      <c r="H29" s="668"/>
    </row>
    <row r="30" spans="1:12"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L37"/>
  <sheetViews>
    <sheetView zoomScale="140" zoomScaleNormal="140" workbookViewId="0">
      <selection sqref="A1:H1"/>
    </sheetView>
  </sheetViews>
  <sheetFormatPr baseColWidth="10" defaultRowHeight="9.9499999999999993" customHeight="1" x14ac:dyDescent="0.15"/>
  <cols>
    <col min="1" max="1" width="23.7109375" style="53" customWidth="1"/>
    <col min="2" max="2" width="8" style="53" bestFit="1" customWidth="1"/>
    <col min="3" max="6" width="6.7109375" style="53" customWidth="1"/>
    <col min="7" max="7" width="6.85546875" style="53" customWidth="1"/>
    <col min="8" max="8" width="9.7109375" style="54" customWidth="1"/>
    <col min="9" max="10" width="7.7109375" style="241" customWidth="1"/>
    <col min="11" max="11" width="21.42578125" style="259" customWidth="1"/>
    <col min="12" max="12" width="11.42578125" style="259" customWidth="1"/>
    <col min="13" max="16384" width="11.42578125" style="53"/>
  </cols>
  <sheetData>
    <row r="1" spans="1:9" ht="15" customHeight="1" x14ac:dyDescent="0.15">
      <c r="A1" s="1019" t="s">
        <v>745</v>
      </c>
      <c r="B1" s="1019"/>
      <c r="C1" s="1019"/>
      <c r="D1" s="1019"/>
      <c r="E1" s="1019"/>
      <c r="F1" s="1019"/>
      <c r="G1" s="1019"/>
      <c r="H1" s="1019"/>
    </row>
    <row r="2" spans="1:9" ht="9.9499999999999993" customHeight="1" x14ac:dyDescent="0.15">
      <c r="A2" s="1021" t="s">
        <v>820</v>
      </c>
      <c r="B2" s="1021"/>
      <c r="C2" s="1021"/>
      <c r="D2" s="1021"/>
      <c r="E2" s="1021"/>
      <c r="F2" s="1021"/>
      <c r="G2" s="1021"/>
      <c r="H2" s="1021"/>
    </row>
    <row r="3" spans="1:9" ht="7.9" customHeight="1" x14ac:dyDescent="0.15">
      <c r="A3" s="56"/>
      <c r="B3" s="57"/>
    </row>
    <row r="4" spans="1:9" ht="20.100000000000001" customHeight="1" x14ac:dyDescent="0.15">
      <c r="A4" s="58"/>
      <c r="B4" s="22" t="s">
        <v>374</v>
      </c>
      <c r="C4" s="22" t="s">
        <v>384</v>
      </c>
      <c r="D4" s="22" t="s">
        <v>376</v>
      </c>
      <c r="E4" s="22" t="s">
        <v>377</v>
      </c>
      <c r="F4" s="22" t="s">
        <v>378</v>
      </c>
      <c r="G4" s="23" t="s">
        <v>385</v>
      </c>
      <c r="H4" s="88" t="s">
        <v>380</v>
      </c>
      <c r="I4" s="268"/>
    </row>
    <row r="5" spans="1:9" ht="7.9" customHeight="1" x14ac:dyDescent="0.15">
      <c r="A5" s="60"/>
      <c r="B5" s="22"/>
      <c r="C5" s="22"/>
      <c r="D5" s="22"/>
      <c r="E5" s="22"/>
      <c r="F5" s="22"/>
      <c r="G5" s="23"/>
      <c r="H5" s="23"/>
    </row>
    <row r="6" spans="1:9" ht="7.9" customHeight="1" x14ac:dyDescent="0.15">
      <c r="A6" s="929" t="s">
        <v>372</v>
      </c>
      <c r="B6" s="930">
        <v>692970.15214660903</v>
      </c>
      <c r="C6" s="930">
        <v>380557.55871627334</v>
      </c>
      <c r="D6" s="930">
        <v>152656.71292500338</v>
      </c>
      <c r="E6" s="930">
        <v>284242.1664851738</v>
      </c>
      <c r="F6" s="930">
        <v>402694.63892313041</v>
      </c>
      <c r="G6" s="930">
        <v>1913121.2291961901</v>
      </c>
      <c r="H6" s="930">
        <v>33574742.472702369</v>
      </c>
      <c r="I6" s="244"/>
    </row>
    <row r="7" spans="1:9" ht="7.9" customHeight="1" x14ac:dyDescent="0.15">
      <c r="A7" s="53" t="s">
        <v>131</v>
      </c>
      <c r="B7" s="51">
        <v>582212</v>
      </c>
      <c r="C7" s="51">
        <v>342818</v>
      </c>
      <c r="D7" s="51">
        <v>131816</v>
      </c>
      <c r="E7" s="51">
        <v>247586</v>
      </c>
      <c r="F7" s="51">
        <v>283057</v>
      </c>
      <c r="G7" s="160">
        <v>1587490</v>
      </c>
      <c r="H7" s="51">
        <v>27805420</v>
      </c>
      <c r="I7" s="244"/>
    </row>
    <row r="8" spans="1:9" ht="7.9" customHeight="1" x14ac:dyDescent="0.15">
      <c r="A8" s="86" t="s">
        <v>370</v>
      </c>
      <c r="B8" s="122">
        <v>0.624</v>
      </c>
      <c r="C8" s="122">
        <v>0.60399999999999998</v>
      </c>
      <c r="D8" s="122">
        <v>0.65800000000000003</v>
      </c>
      <c r="E8" s="122">
        <v>0.64500000000000002</v>
      </c>
      <c r="F8" s="122">
        <v>0.72299999999999998</v>
      </c>
      <c r="G8" s="601">
        <v>0.64300000000000002</v>
      </c>
      <c r="H8" s="122">
        <v>0.57793933700695765</v>
      </c>
      <c r="I8" s="244"/>
    </row>
    <row r="9" spans="1:9" ht="7.9" customHeight="1" x14ac:dyDescent="0.15">
      <c r="A9" s="53" t="s">
        <v>602</v>
      </c>
      <c r="B9" s="51">
        <v>71444</v>
      </c>
      <c r="C9" s="51">
        <v>10839</v>
      </c>
      <c r="D9" s="51">
        <v>8088</v>
      </c>
      <c r="E9" s="51">
        <v>13434</v>
      </c>
      <c r="F9" s="51">
        <v>98517</v>
      </c>
      <c r="G9" s="52">
        <v>202323</v>
      </c>
      <c r="H9" s="51">
        <v>3198943</v>
      </c>
      <c r="I9" s="244"/>
    </row>
    <row r="10" spans="1:9" ht="7.9" customHeight="1" x14ac:dyDescent="0.15">
      <c r="A10" s="86" t="s">
        <v>291</v>
      </c>
      <c r="B10" s="122">
        <v>0.10299999999999999</v>
      </c>
      <c r="C10" s="122">
        <v>2.8000000000000001E-2</v>
      </c>
      <c r="D10" s="122">
        <v>5.2999999999999999E-2</v>
      </c>
      <c r="E10" s="122">
        <v>4.7E-2</v>
      </c>
      <c r="F10" s="122">
        <v>0.245</v>
      </c>
      <c r="G10" s="15">
        <v>0.106</v>
      </c>
      <c r="H10" s="122">
        <v>9.527826574383004E-2</v>
      </c>
      <c r="I10" s="244"/>
    </row>
    <row r="11" spans="1:9" ht="7.9" customHeight="1" x14ac:dyDescent="0.15">
      <c r="A11" s="85" t="s">
        <v>455</v>
      </c>
      <c r="B11" s="51">
        <v>39314</v>
      </c>
      <c r="C11" s="51">
        <v>26900</v>
      </c>
      <c r="D11" s="51">
        <v>12752</v>
      </c>
      <c r="E11" s="51">
        <v>23222</v>
      </c>
      <c r="F11" s="51">
        <v>21121</v>
      </c>
      <c r="G11" s="52">
        <v>123308</v>
      </c>
      <c r="H11" s="51">
        <v>2570380</v>
      </c>
      <c r="I11" s="244"/>
    </row>
    <row r="12" spans="1:9" ht="7.9" customHeight="1" x14ac:dyDescent="0.15">
      <c r="A12" s="78"/>
      <c r="B12" s="74"/>
      <c r="C12" s="74"/>
      <c r="D12" s="74"/>
      <c r="E12" s="74"/>
      <c r="F12" s="74"/>
      <c r="G12" s="74"/>
      <c r="H12" s="74"/>
    </row>
    <row r="13" spans="1:9" ht="7.9" customHeight="1" x14ac:dyDescent="0.15">
      <c r="A13" s="929" t="s">
        <v>290</v>
      </c>
      <c r="B13" s="930"/>
      <c r="C13" s="930"/>
      <c r="D13" s="930"/>
      <c r="E13" s="930"/>
      <c r="F13" s="930"/>
      <c r="G13" s="930"/>
      <c r="H13" s="930"/>
    </row>
    <row r="14" spans="1:9" ht="7.9" customHeight="1" x14ac:dyDescent="0.15">
      <c r="A14" s="92" t="s">
        <v>670</v>
      </c>
      <c r="B14" s="76">
        <v>363400</v>
      </c>
      <c r="C14" s="76">
        <v>206894</v>
      </c>
      <c r="D14" s="76">
        <v>86729</v>
      </c>
      <c r="E14" s="76">
        <v>159571</v>
      </c>
      <c r="F14" s="76">
        <v>204774</v>
      </c>
      <c r="G14" s="26">
        <v>1021368</v>
      </c>
      <c r="H14" s="76">
        <v>16069846</v>
      </c>
      <c r="I14" s="244"/>
    </row>
    <row r="15" spans="1:9" ht="7.9" customHeight="1" x14ac:dyDescent="0.15">
      <c r="A15" s="55" t="s">
        <v>671</v>
      </c>
      <c r="B15" s="51">
        <v>211699</v>
      </c>
      <c r="C15" s="51">
        <v>132385</v>
      </c>
      <c r="D15" s="51">
        <v>43666</v>
      </c>
      <c r="E15" s="51">
        <v>85196</v>
      </c>
      <c r="F15" s="51">
        <v>74832</v>
      </c>
      <c r="G15" s="160">
        <v>547778</v>
      </c>
      <c r="H15" s="104">
        <v>11084969</v>
      </c>
      <c r="I15" s="244"/>
    </row>
    <row r="16" spans="1:9" ht="7.9" customHeight="1" x14ac:dyDescent="0.15">
      <c r="A16" s="140" t="s">
        <v>672</v>
      </c>
      <c r="B16" s="159">
        <v>68284</v>
      </c>
      <c r="C16" s="159">
        <v>57891</v>
      </c>
      <c r="D16" s="159">
        <v>14157</v>
      </c>
      <c r="E16" s="159">
        <v>34639</v>
      </c>
      <c r="F16" s="159">
        <v>18877</v>
      </c>
      <c r="G16" s="473">
        <v>193848</v>
      </c>
      <c r="H16" s="161">
        <v>4064988</v>
      </c>
      <c r="I16" s="244"/>
    </row>
    <row r="17" spans="1:12" ht="7.9" customHeight="1" x14ac:dyDescent="0.15">
      <c r="A17" s="75" t="s">
        <v>673</v>
      </c>
      <c r="B17" s="51">
        <v>7113</v>
      </c>
      <c r="C17" s="51">
        <v>3539</v>
      </c>
      <c r="D17" s="51">
        <v>1422</v>
      </c>
      <c r="E17" s="51">
        <v>2819</v>
      </c>
      <c r="F17" s="51">
        <v>3451</v>
      </c>
      <c r="G17" s="160">
        <v>18344</v>
      </c>
      <c r="H17" s="104">
        <v>650604</v>
      </c>
      <c r="I17" s="244"/>
    </row>
    <row r="18" spans="1:12" ht="7.9" customHeight="1" x14ac:dyDescent="0.15">
      <c r="A18" s="75"/>
      <c r="B18" s="51"/>
      <c r="C18" s="51"/>
      <c r="D18" s="51"/>
      <c r="E18" s="51"/>
      <c r="F18" s="51"/>
      <c r="G18" s="160"/>
      <c r="H18" s="104"/>
      <c r="I18" s="244"/>
    </row>
    <row r="19" spans="1:12" ht="7.9" customHeight="1" x14ac:dyDescent="0.15">
      <c r="A19" s="929" t="s">
        <v>223</v>
      </c>
      <c r="B19" s="950">
        <v>7.3350267902996202E-2</v>
      </c>
      <c r="C19" s="951">
        <v>6.2832830630141001E-2</v>
      </c>
      <c r="D19" s="951">
        <v>3.6450602056068301E-2</v>
      </c>
      <c r="E19" s="951">
        <v>4.6455629204896799E-2</v>
      </c>
      <c r="F19" s="951">
        <v>3.3088944886133502E-2</v>
      </c>
      <c r="G19" s="952">
        <v>5.6642807775828599E-2</v>
      </c>
      <c r="H19" s="953">
        <v>9.6693227967006107E-2</v>
      </c>
      <c r="I19" s="259"/>
    </row>
    <row r="20" spans="1:12" ht="7.9" customHeight="1" thickBot="1" x14ac:dyDescent="0.2">
      <c r="A20" s="1008"/>
      <c r="B20" s="1009"/>
      <c r="C20" s="1009"/>
      <c r="D20" s="1009"/>
      <c r="E20" s="1009"/>
      <c r="F20" s="1009"/>
      <c r="G20" s="1010"/>
      <c r="H20" s="1009"/>
    </row>
    <row r="21" spans="1:12" ht="7.9" customHeight="1" thickTop="1" x14ac:dyDescent="0.15">
      <c r="A21" s="179" t="s">
        <v>821</v>
      </c>
      <c r="B21" s="21"/>
      <c r="C21" s="21"/>
      <c r="D21" s="21"/>
      <c r="E21" s="21"/>
      <c r="F21" s="21"/>
      <c r="G21" s="21"/>
      <c r="H21" s="27"/>
      <c r="L21" s="53"/>
    </row>
    <row r="22" spans="1:12" ht="7.9" customHeight="1" x14ac:dyDescent="0.15">
      <c r="A22" s="141" t="s">
        <v>360</v>
      </c>
      <c r="B22" s="21"/>
      <c r="C22" s="21"/>
      <c r="D22" s="21"/>
      <c r="E22" s="21"/>
      <c r="F22" s="21"/>
      <c r="G22" s="21"/>
      <c r="H22" s="27"/>
    </row>
    <row r="23" spans="1:12" ht="7.9" customHeight="1" x14ac:dyDescent="0.15">
      <c r="A23" s="141"/>
      <c r="B23" s="21"/>
      <c r="C23" s="21"/>
      <c r="D23" s="21"/>
      <c r="E23" s="21"/>
      <c r="F23" s="21"/>
      <c r="G23" s="21"/>
      <c r="H23" s="27"/>
    </row>
    <row r="24" spans="1:12" ht="7.9" customHeight="1" x14ac:dyDescent="0.15">
      <c r="B24" s="661"/>
      <c r="C24" s="661"/>
      <c r="D24" s="661"/>
      <c r="E24" s="661"/>
      <c r="F24" s="661"/>
      <c r="G24" s="661"/>
      <c r="H24" s="661"/>
    </row>
    <row r="25" spans="1:12" ht="7.9" customHeight="1" x14ac:dyDescent="0.15">
      <c r="G25" s="54"/>
      <c r="H25" s="53"/>
    </row>
    <row r="26" spans="1:12" ht="7.9" customHeight="1" x14ac:dyDescent="0.15">
      <c r="B26" s="51"/>
      <c r="C26" s="51"/>
      <c r="D26" s="51"/>
      <c r="E26" s="51"/>
      <c r="F26" s="51"/>
      <c r="G26" s="51"/>
      <c r="H26" s="51"/>
    </row>
    <row r="27" spans="1:12" ht="7.9" customHeight="1" x14ac:dyDescent="0.15">
      <c r="A27" s="387" t="s">
        <v>43</v>
      </c>
      <c r="B27" s="474">
        <f>B7*B19</f>
        <v>42705.406176339224</v>
      </c>
      <c r="C27" s="474">
        <f>C7*C19</f>
        <v>21540.225330963676</v>
      </c>
      <c r="D27" s="474">
        <f>D7*D19</f>
        <v>4804.7725606226995</v>
      </c>
      <c r="E27" s="474">
        <f>E7*E19</f>
        <v>11501.763412323578</v>
      </c>
      <c r="F27" s="474">
        <f>F7*F19</f>
        <v>9366.0574726342911</v>
      </c>
      <c r="G27" s="474">
        <f>SUM(B27:F27)</f>
        <v>89918.224952883465</v>
      </c>
      <c r="H27" s="474">
        <f>H7*H19</f>
        <v>2688595.8147783508</v>
      </c>
    </row>
    <row r="28" spans="1:12" ht="7.9" customHeight="1" x14ac:dyDescent="0.15">
      <c r="A28" s="387"/>
      <c r="B28" s="602"/>
      <c r="C28" s="602"/>
      <c r="D28" s="602"/>
      <c r="E28" s="602"/>
      <c r="F28" s="602"/>
      <c r="G28" s="602"/>
      <c r="H28" s="602"/>
    </row>
    <row r="29" spans="1:12" ht="8.25" customHeight="1" x14ac:dyDescent="0.15">
      <c r="A29" s="387"/>
      <c r="B29" s="602"/>
      <c r="C29" s="602"/>
      <c r="D29" s="602"/>
      <c r="E29" s="602"/>
      <c r="F29" s="602"/>
      <c r="G29" s="602"/>
      <c r="H29" s="602"/>
    </row>
    <row r="30" spans="1:12" ht="9.9499999999999993" customHeight="1" x14ac:dyDescent="0.15">
      <c r="B30" s="65"/>
    </row>
    <row r="37" spans="2:8" ht="9.9499999999999993" customHeight="1" x14ac:dyDescent="0.15">
      <c r="B37" s="96"/>
      <c r="C37" s="96"/>
      <c r="D37" s="96"/>
      <c r="E37" s="96"/>
      <c r="F37" s="96"/>
      <c r="G37" s="96"/>
      <c r="H37" s="96"/>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R28"/>
  <sheetViews>
    <sheetView zoomScale="140" zoomScaleNormal="140" workbookViewId="0">
      <selection sqref="A1:H1"/>
    </sheetView>
  </sheetViews>
  <sheetFormatPr baseColWidth="10" defaultRowHeight="9.9499999999999993" customHeight="1" x14ac:dyDescent="0.15"/>
  <cols>
    <col min="1" max="1" width="27.5703125" style="53" customWidth="1"/>
    <col min="2" max="2" width="6.7109375" style="53" customWidth="1"/>
    <col min="3" max="3" width="6.85546875" style="53" bestFit="1" customWidth="1"/>
    <col min="4" max="6" width="6.7109375" style="53" customWidth="1"/>
    <col min="7" max="7" width="6.85546875" style="53" customWidth="1"/>
    <col min="8" max="8" width="9.42578125" style="54" customWidth="1"/>
    <col min="9" max="10" width="7.7109375" style="241" customWidth="1"/>
    <col min="11" max="11" width="21.42578125" style="259" customWidth="1"/>
    <col min="12" max="12" width="11.42578125" style="259" customWidth="1"/>
    <col min="13" max="16384" width="11.42578125" style="53"/>
  </cols>
  <sheetData>
    <row r="1" spans="1:18" ht="15" customHeight="1" x14ac:dyDescent="0.15">
      <c r="A1" s="1019" t="s">
        <v>424</v>
      </c>
      <c r="B1" s="1019"/>
      <c r="C1" s="1019"/>
      <c r="D1" s="1019"/>
      <c r="E1" s="1019"/>
      <c r="F1" s="1019"/>
      <c r="G1" s="1019"/>
      <c r="H1" s="1019"/>
      <c r="I1" s="195"/>
      <c r="J1" s="173"/>
      <c r="K1" s="262"/>
      <c r="L1" s="262"/>
      <c r="M1" s="65"/>
      <c r="N1" s="65"/>
      <c r="O1" s="65"/>
    </row>
    <row r="2" spans="1:18" ht="8.4499999999999993" customHeight="1" x14ac:dyDescent="0.15">
      <c r="A2" s="1023" t="s">
        <v>822</v>
      </c>
      <c r="B2" s="1023"/>
      <c r="C2" s="1023"/>
      <c r="D2" s="1023"/>
      <c r="E2" s="1023"/>
      <c r="F2" s="1023"/>
      <c r="G2" s="1023"/>
      <c r="H2" s="1023"/>
      <c r="I2" s="173"/>
      <c r="J2" s="173"/>
      <c r="K2" s="262"/>
      <c r="L2" s="262"/>
      <c r="M2" s="65"/>
      <c r="N2" s="65"/>
      <c r="O2" s="65"/>
    </row>
    <row r="3" spans="1:18" ht="9.9499999999999993" customHeight="1" x14ac:dyDescent="0.15">
      <c r="A3" s="56"/>
      <c r="B3" s="57"/>
      <c r="I3" s="173"/>
      <c r="J3" s="173"/>
      <c r="K3" s="262"/>
      <c r="L3" s="262"/>
      <c r="M3" s="65"/>
      <c r="N3" s="65"/>
      <c r="O3" s="65"/>
    </row>
    <row r="4" spans="1:18" s="57" customFormat="1" ht="20.100000000000001" customHeight="1" x14ac:dyDescent="0.15">
      <c r="A4" s="58"/>
      <c r="B4" s="22" t="s">
        <v>374</v>
      </c>
      <c r="C4" s="22" t="s">
        <v>384</v>
      </c>
      <c r="D4" s="22" t="s">
        <v>376</v>
      </c>
      <c r="E4" s="22" t="s">
        <v>377</v>
      </c>
      <c r="F4" s="22" t="s">
        <v>378</v>
      </c>
      <c r="G4" s="23" t="s">
        <v>385</v>
      </c>
      <c r="H4" s="88" t="s">
        <v>380</v>
      </c>
      <c r="I4" s="339"/>
      <c r="J4" s="339"/>
      <c r="K4" s="262"/>
      <c r="L4" s="262"/>
      <c r="M4" s="174"/>
      <c r="N4" s="174"/>
      <c r="O4" s="174"/>
    </row>
    <row r="5" spans="1:18" ht="7.9" customHeight="1" x14ac:dyDescent="0.15">
      <c r="A5" s="60"/>
      <c r="B5" s="22"/>
      <c r="C5" s="22"/>
      <c r="D5" s="22"/>
      <c r="E5" s="22"/>
      <c r="F5" s="22"/>
      <c r="G5" s="23"/>
      <c r="H5" s="23"/>
      <c r="I5" s="173"/>
      <c r="J5" s="173"/>
      <c r="K5" s="262"/>
      <c r="L5" s="262"/>
      <c r="M5" s="65"/>
      <c r="N5" s="65"/>
      <c r="O5" s="65"/>
    </row>
    <row r="6" spans="1:18" ht="7.9" customHeight="1" x14ac:dyDescent="0.15">
      <c r="A6" s="929" t="s">
        <v>823</v>
      </c>
      <c r="B6" s="949">
        <f>B7+B8</f>
        <v>79201</v>
      </c>
      <c r="C6" s="949">
        <f>C7+C8</f>
        <v>62696</v>
      </c>
      <c r="D6" s="949">
        <f>D7+D8</f>
        <v>15580</v>
      </c>
      <c r="E6" s="949">
        <f>E7+E8</f>
        <v>37810</v>
      </c>
      <c r="F6" s="949">
        <f>F7+F8</f>
        <v>21619</v>
      </c>
      <c r="G6" s="949">
        <f>SUM(B6:F6)</f>
        <v>216906</v>
      </c>
      <c r="H6" s="949">
        <f>H7+H8</f>
        <v>4701451</v>
      </c>
      <c r="I6" s="351"/>
      <c r="J6" s="755"/>
      <c r="K6" s="756"/>
      <c r="L6" s="756"/>
      <c r="M6" s="756"/>
      <c r="N6" s="756"/>
      <c r="O6" s="756"/>
      <c r="P6" s="756"/>
      <c r="Q6" s="756"/>
      <c r="R6" s="65"/>
    </row>
    <row r="7" spans="1:18" ht="7.9" customHeight="1" x14ac:dyDescent="0.15">
      <c r="A7" s="55" t="s">
        <v>361</v>
      </c>
      <c r="B7" s="67">
        <v>65622</v>
      </c>
      <c r="C7" s="67">
        <v>41473</v>
      </c>
      <c r="D7" s="67">
        <v>10712</v>
      </c>
      <c r="E7" s="67">
        <v>28446</v>
      </c>
      <c r="F7" s="67">
        <v>11131</v>
      </c>
      <c r="G7" s="176">
        <f>SUM(B7:F7)</f>
        <v>157384</v>
      </c>
      <c r="H7" s="143">
        <v>3958244</v>
      </c>
      <c r="I7" s="351"/>
      <c r="J7" s="757"/>
      <c r="K7" s="758"/>
      <c r="L7" s="758"/>
      <c r="M7" s="758"/>
      <c r="N7" s="758"/>
      <c r="O7" s="758"/>
      <c r="P7" s="756"/>
      <c r="Q7" s="758"/>
      <c r="R7" s="65"/>
    </row>
    <row r="8" spans="1:18" ht="7.9" customHeight="1" x14ac:dyDescent="0.15">
      <c r="A8" s="55" t="s">
        <v>362</v>
      </c>
      <c r="B8" s="67">
        <v>13579</v>
      </c>
      <c r="C8" s="67">
        <v>21223</v>
      </c>
      <c r="D8" s="67">
        <v>4868</v>
      </c>
      <c r="E8" s="67">
        <v>9364</v>
      </c>
      <c r="F8" s="67">
        <v>10488</v>
      </c>
      <c r="G8" s="176">
        <f>SUM(B8:F8)</f>
        <v>59522</v>
      </c>
      <c r="H8" s="143">
        <v>743207</v>
      </c>
      <c r="I8" s="351"/>
      <c r="J8" s="757"/>
      <c r="K8" s="758"/>
      <c r="L8" s="758"/>
      <c r="M8" s="758"/>
      <c r="N8" s="758"/>
      <c r="O8" s="758"/>
      <c r="P8" s="756"/>
      <c r="Q8" s="758"/>
      <c r="R8" s="65"/>
    </row>
    <row r="9" spans="1:18" ht="7.9" customHeight="1" x14ac:dyDescent="0.15">
      <c r="A9" s="55" t="s">
        <v>292</v>
      </c>
      <c r="B9" s="604">
        <v>5.5502647442700539</v>
      </c>
      <c r="C9" s="604">
        <v>5.144220238894766</v>
      </c>
      <c r="D9" s="604">
        <v>4.6230866146148388</v>
      </c>
      <c r="E9" s="604">
        <v>4.9372769557596667</v>
      </c>
      <c r="F9" s="604">
        <v>4.87718825592993</v>
      </c>
      <c r="G9" s="603">
        <v>5.1861773418210069</v>
      </c>
      <c r="H9" s="739">
        <v>5.7004338802740415</v>
      </c>
      <c r="I9" s="351"/>
      <c r="J9" s="757"/>
      <c r="K9" s="759"/>
      <c r="L9" s="759"/>
      <c r="M9" s="759"/>
      <c r="N9" s="759"/>
      <c r="O9" s="759"/>
      <c r="P9" s="759"/>
      <c r="Q9" s="760"/>
      <c r="R9" s="65"/>
    </row>
    <row r="10" spans="1:18" ht="7.9" customHeight="1" x14ac:dyDescent="0.15">
      <c r="A10" s="144" t="s">
        <v>132</v>
      </c>
      <c r="B10" s="145">
        <v>0.10643353810841828</v>
      </c>
      <c r="C10" s="145">
        <v>0.13192739098692507</v>
      </c>
      <c r="D10" s="145">
        <v>0.14180552767181959</v>
      </c>
      <c r="E10" s="145">
        <v>0.12755129810047353</v>
      </c>
      <c r="F10" s="145">
        <v>0.13249987932615725</v>
      </c>
      <c r="G10" s="194">
        <v>0.12278766947697338</v>
      </c>
      <c r="H10" s="472">
        <v>9.6162006631348287E-2</v>
      </c>
      <c r="I10" s="606"/>
      <c r="J10" s="761"/>
      <c r="K10" s="762"/>
      <c r="L10" s="762"/>
      <c r="M10" s="762"/>
      <c r="N10" s="762"/>
      <c r="O10" s="762"/>
      <c r="P10" s="762"/>
      <c r="Q10" s="762"/>
      <c r="R10" s="65"/>
    </row>
    <row r="11" spans="1:18" ht="7.9" customHeight="1" x14ac:dyDescent="0.15">
      <c r="A11" s="144" t="s">
        <v>133</v>
      </c>
      <c r="B11" s="105">
        <v>2.6091062925504702E-2</v>
      </c>
      <c r="C11" s="105">
        <v>4.4266571609119044E-2</v>
      </c>
      <c r="D11" s="105">
        <v>3.9984085935945893E-2</v>
      </c>
      <c r="E11" s="105">
        <v>4.7644640313868808E-2</v>
      </c>
      <c r="F11" s="105">
        <v>4.653340199428866E-2</v>
      </c>
      <c r="G11" s="182">
        <v>3.8236336570496916E-2</v>
      </c>
      <c r="H11" s="105">
        <v>3.1288969328665088E-2</v>
      </c>
      <c r="I11" s="606"/>
      <c r="J11" s="761"/>
      <c r="K11" s="762"/>
      <c r="L11" s="762"/>
      <c r="M11" s="762"/>
      <c r="N11" s="762"/>
      <c r="O11" s="762"/>
      <c r="P11" s="762"/>
      <c r="Q11" s="762"/>
      <c r="R11" s="65"/>
    </row>
    <row r="12" spans="1:18" ht="7.9" customHeight="1" x14ac:dyDescent="0.15">
      <c r="A12" s="130" t="s">
        <v>472</v>
      </c>
      <c r="B12" s="511">
        <f>10000*B6/'page 5 Démo'!B15</f>
        <v>589.49579394107195</v>
      </c>
      <c r="C12" s="511">
        <f>10000*C6/'page 5 Démo'!C15</f>
        <v>779.01616530609704</v>
      </c>
      <c r="D12" s="511">
        <f>10000*D6/'page 5 Démo'!D15</f>
        <v>506.20573136656054</v>
      </c>
      <c r="E12" s="511">
        <f>10000*E6/'page 5 Démo'!E15</f>
        <v>662.76126571450607</v>
      </c>
      <c r="F12" s="511">
        <f>10000*F6/'page 5 Démo'!F15</f>
        <v>326.67906754651466</v>
      </c>
      <c r="G12" s="512">
        <f>10000*G6/'page 5 Démo'!G15</f>
        <v>588.07597113220606</v>
      </c>
      <c r="H12" s="511">
        <f>10000*H6/'page 5 Démo'!H15</f>
        <v>734.80748780932061</v>
      </c>
      <c r="I12" s="351"/>
      <c r="J12" s="763"/>
      <c r="K12" s="764"/>
      <c r="L12" s="764"/>
      <c r="M12" s="764"/>
      <c r="N12" s="764"/>
      <c r="O12" s="764"/>
      <c r="P12" s="765"/>
      <c r="Q12" s="764"/>
      <c r="R12" s="65"/>
    </row>
    <row r="13" spans="1:18" ht="7.9" customHeight="1" x14ac:dyDescent="0.15">
      <c r="A13" s="69"/>
      <c r="B13" s="70"/>
      <c r="C13" s="70"/>
      <c r="D13" s="70"/>
      <c r="E13" s="70"/>
      <c r="F13" s="70"/>
      <c r="G13" s="71"/>
      <c r="H13" s="72"/>
      <c r="I13" s="173"/>
      <c r="J13" s="173"/>
      <c r="K13" s="262"/>
      <c r="L13" s="262"/>
      <c r="M13" s="65"/>
      <c r="N13" s="65"/>
      <c r="O13" s="65"/>
      <c r="P13" s="65"/>
      <c r="Q13" s="65"/>
      <c r="R13" s="65"/>
    </row>
    <row r="14" spans="1:18" ht="7.9" customHeight="1" x14ac:dyDescent="0.15">
      <c r="A14" s="929" t="s">
        <v>186</v>
      </c>
      <c r="B14" s="949">
        <f>B15+B16</f>
        <v>2770</v>
      </c>
      <c r="C14" s="949">
        <f t="shared" ref="C14:H14" si="0">C15+C16</f>
        <v>1000</v>
      </c>
      <c r="D14" s="949">
        <f t="shared" si="0"/>
        <v>200</v>
      </c>
      <c r="E14" s="949">
        <f t="shared" si="0"/>
        <v>475</v>
      </c>
      <c r="F14" s="949">
        <f t="shared" si="0"/>
        <v>690</v>
      </c>
      <c r="G14" s="949">
        <f t="shared" si="0"/>
        <v>5135</v>
      </c>
      <c r="H14" s="949">
        <f t="shared" si="0"/>
        <v>87652</v>
      </c>
      <c r="I14" s="675"/>
      <c r="J14" s="605"/>
      <c r="K14" s="605"/>
      <c r="L14" s="607"/>
      <c r="M14" s="607"/>
      <c r="N14" s="607"/>
      <c r="O14" s="176"/>
      <c r="P14" s="608"/>
    </row>
    <row r="15" spans="1:18" ht="7.9" customHeight="1" x14ac:dyDescent="0.15">
      <c r="A15" s="43" t="s">
        <v>183</v>
      </c>
      <c r="B15" s="577">
        <v>959</v>
      </c>
      <c r="C15" s="577">
        <v>346</v>
      </c>
      <c r="D15" s="577">
        <v>69</v>
      </c>
      <c r="E15" s="577">
        <v>204</v>
      </c>
      <c r="F15" s="577">
        <v>238</v>
      </c>
      <c r="G15" s="576">
        <f>SUM(B15:F15)</f>
        <v>1816</v>
      </c>
      <c r="H15" s="578">
        <v>30753</v>
      </c>
      <c r="I15" s="675"/>
      <c r="J15" s="605"/>
      <c r="K15" s="605"/>
      <c r="L15" s="607"/>
      <c r="M15" s="607"/>
      <c r="N15" s="607"/>
      <c r="O15" s="176"/>
      <c r="P15" s="608"/>
    </row>
    <row r="16" spans="1:18" ht="7.9" customHeight="1" x14ac:dyDescent="0.15">
      <c r="A16" s="53" t="s">
        <v>184</v>
      </c>
      <c r="B16" s="577">
        <v>1811</v>
      </c>
      <c r="C16" s="577">
        <v>654</v>
      </c>
      <c r="D16" s="577">
        <v>131</v>
      </c>
      <c r="E16" s="577">
        <v>271</v>
      </c>
      <c r="F16" s="577">
        <v>452</v>
      </c>
      <c r="G16" s="576">
        <f>SUM(B16:F16)</f>
        <v>3319</v>
      </c>
      <c r="H16" s="578">
        <v>56899</v>
      </c>
      <c r="I16" s="675"/>
      <c r="J16" s="605"/>
      <c r="K16" s="605"/>
      <c r="L16" s="262"/>
      <c r="M16" s="65"/>
      <c r="N16" s="65"/>
      <c r="O16" s="65"/>
    </row>
    <row r="17" spans="1:15" ht="7.9" customHeight="1" x14ac:dyDescent="0.15">
      <c r="A17" s="146"/>
      <c r="B17" s="579"/>
      <c r="C17" s="580"/>
      <c r="D17" s="579"/>
      <c r="E17" s="580"/>
      <c r="F17" s="579"/>
      <c r="G17" s="581"/>
      <c r="H17" s="578"/>
      <c r="I17" s="675"/>
      <c r="J17" s="605"/>
      <c r="K17" s="605"/>
      <c r="L17" s="173"/>
      <c r="M17" s="65"/>
      <c r="N17" s="65"/>
      <c r="O17" s="65"/>
    </row>
    <row r="18" spans="1:15" ht="7.9" customHeight="1" x14ac:dyDescent="0.15">
      <c r="A18" s="929" t="s">
        <v>185</v>
      </c>
      <c r="B18" s="949"/>
      <c r="C18" s="949"/>
      <c r="D18" s="949"/>
      <c r="E18" s="949"/>
      <c r="F18" s="949"/>
      <c r="G18" s="949"/>
      <c r="H18" s="949"/>
      <c r="I18" s="675"/>
      <c r="J18" s="605"/>
      <c r="K18" s="605"/>
      <c r="L18" s="262"/>
      <c r="M18" s="65"/>
      <c r="N18" s="65"/>
      <c r="O18" s="65"/>
    </row>
    <row r="19" spans="1:15" ht="7.9" customHeight="1" x14ac:dyDescent="0.15">
      <c r="A19" s="39" t="s">
        <v>566</v>
      </c>
      <c r="B19" s="577">
        <v>815</v>
      </c>
      <c r="C19" s="577">
        <v>200</v>
      </c>
      <c r="D19" s="577">
        <v>270</v>
      </c>
      <c r="E19" s="577">
        <v>215</v>
      </c>
      <c r="F19" s="577">
        <v>55</v>
      </c>
      <c r="G19" s="576">
        <f>SUM(B19:F19)</f>
        <v>1555</v>
      </c>
      <c r="H19" s="577">
        <v>30063</v>
      </c>
      <c r="I19" s="675"/>
      <c r="J19" s="605"/>
      <c r="K19" s="605"/>
      <c r="L19" s="262"/>
      <c r="M19" s="65"/>
      <c r="N19" s="65"/>
      <c r="O19" s="65"/>
    </row>
    <row r="20" spans="1:15" ht="7.9" customHeight="1" thickBot="1" x14ac:dyDescent="0.2">
      <c r="A20" s="1008"/>
      <c r="B20" s="1009"/>
      <c r="C20" s="1009"/>
      <c r="D20" s="1009"/>
      <c r="E20" s="1009"/>
      <c r="F20" s="1009"/>
      <c r="G20" s="1010"/>
      <c r="H20" s="1009"/>
      <c r="I20" s="173"/>
      <c r="J20" s="173"/>
      <c r="K20" s="262"/>
      <c r="L20" s="262"/>
      <c r="M20" s="65"/>
      <c r="N20" s="65"/>
      <c r="O20" s="65"/>
    </row>
    <row r="21" spans="1:15" ht="7.9" customHeight="1" thickTop="1" x14ac:dyDescent="0.15">
      <c r="A21" s="13" t="s">
        <v>943</v>
      </c>
      <c r="B21" s="147"/>
      <c r="C21" s="147"/>
      <c r="D21" s="147"/>
      <c r="E21" s="147"/>
      <c r="F21" s="147"/>
      <c r="G21" s="147"/>
      <c r="H21" s="147"/>
      <c r="I21" s="247"/>
      <c r="J21" s="173"/>
      <c r="K21" s="262"/>
      <c r="L21" s="262"/>
      <c r="M21" s="65"/>
      <c r="N21" s="65"/>
      <c r="O21" s="65"/>
    </row>
    <row r="22" spans="1:15" ht="7.9" customHeight="1" x14ac:dyDescent="0.15">
      <c r="A22" s="283" t="s">
        <v>219</v>
      </c>
      <c r="B22" s="147"/>
      <c r="E22" s="147"/>
      <c r="F22" s="147"/>
      <c r="G22" s="147"/>
      <c r="H22" s="147"/>
      <c r="I22" s="173"/>
      <c r="J22" s="173"/>
      <c r="K22" s="262"/>
      <c r="L22" s="262"/>
      <c r="M22" s="65"/>
      <c r="N22" s="65"/>
      <c r="O22" s="65"/>
    </row>
    <row r="23" spans="1:15" ht="7.9" customHeight="1" x14ac:dyDescent="0.15">
      <c r="A23" s="283" t="s">
        <v>220</v>
      </c>
      <c r="B23" s="21"/>
      <c r="C23" s="21"/>
      <c r="D23" s="21"/>
      <c r="E23" s="21"/>
      <c r="F23" s="21"/>
      <c r="G23" s="21"/>
      <c r="H23" s="27"/>
      <c r="I23" s="173"/>
      <c r="J23" s="173"/>
      <c r="K23" s="262"/>
      <c r="L23" s="262"/>
      <c r="M23" s="65"/>
      <c r="N23" s="65"/>
      <c r="O23" s="65"/>
    </row>
    <row r="24" spans="1:15" ht="7.9" customHeight="1" x14ac:dyDescent="0.15">
      <c r="A24" s="283" t="s">
        <v>221</v>
      </c>
      <c r="I24" s="173"/>
      <c r="J24" s="173"/>
      <c r="K24" s="262"/>
      <c r="L24" s="262"/>
      <c r="M24" s="65"/>
      <c r="N24" s="65"/>
      <c r="O24" s="65"/>
    </row>
    <row r="25" spans="1:15" ht="7.9" customHeight="1" x14ac:dyDescent="0.15">
      <c r="A25" s="510" t="s">
        <v>471</v>
      </c>
      <c r="B25" s="65"/>
      <c r="D25" s="262"/>
      <c r="E25" s="173"/>
      <c r="F25" s="173"/>
      <c r="I25" s="173"/>
      <c r="J25" s="173"/>
      <c r="K25" s="262"/>
      <c r="L25" s="262"/>
      <c r="M25" s="65"/>
      <c r="N25" s="65"/>
      <c r="O25" s="65"/>
    </row>
    <row r="26" spans="1:15" ht="7.9" customHeight="1" x14ac:dyDescent="0.15">
      <c r="A26" s="124"/>
      <c r="G26" s="43"/>
      <c r="I26" s="173"/>
      <c r="J26" s="173"/>
      <c r="K26" s="262"/>
      <c r="L26" s="262"/>
      <c r="M26" s="65"/>
      <c r="N26" s="65"/>
      <c r="O26" s="65"/>
    </row>
    <row r="28" spans="1:15" ht="9.9499999999999993" customHeight="1" x14ac:dyDescent="0.15">
      <c r="K28" s="740"/>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L34"/>
  <sheetViews>
    <sheetView zoomScale="140" zoomScaleNormal="140" workbookViewId="0">
      <selection sqref="A1:G1"/>
    </sheetView>
  </sheetViews>
  <sheetFormatPr baseColWidth="10" defaultRowHeight="9.9499999999999993" customHeight="1" x14ac:dyDescent="0.15"/>
  <cols>
    <col min="1" max="1" width="27.28515625" style="53" customWidth="1"/>
    <col min="2" max="6" width="6.7109375" style="53" customWidth="1"/>
    <col min="7" max="7" width="6.85546875" style="53" customWidth="1"/>
    <col min="8" max="8" width="8.7109375" style="27" customWidth="1"/>
    <col min="9" max="10" width="7.7109375" style="241" customWidth="1"/>
    <col min="11" max="11" width="21.42578125" style="259" customWidth="1"/>
    <col min="12" max="12" width="11.42578125" style="259" customWidth="1"/>
    <col min="13" max="16384" width="11.42578125" style="53"/>
  </cols>
  <sheetData>
    <row r="1" spans="1:11" ht="15" customHeight="1" x14ac:dyDescent="0.15">
      <c r="A1" s="1019" t="s">
        <v>444</v>
      </c>
      <c r="B1" s="1019"/>
      <c r="C1" s="1019"/>
      <c r="D1" s="1019"/>
      <c r="E1" s="1019"/>
      <c r="F1" s="1019"/>
      <c r="G1" s="1019"/>
      <c r="H1" s="1012"/>
      <c r="I1" s="173"/>
      <c r="J1" s="173"/>
      <c r="K1" s="262"/>
    </row>
    <row r="2" spans="1:11" ht="9.9499999999999993" customHeight="1" x14ac:dyDescent="0.2">
      <c r="A2" s="1021" t="s">
        <v>822</v>
      </c>
      <c r="B2" s="1021"/>
      <c r="C2" s="1021"/>
      <c r="D2" s="1021"/>
      <c r="E2" s="1021"/>
      <c r="F2" s="1021"/>
      <c r="G2" s="1021"/>
      <c r="H2" s="1013"/>
      <c r="I2" s="593"/>
      <c r="J2" s="173"/>
      <c r="K2" s="262"/>
    </row>
    <row r="3" spans="1:11" ht="7.9" customHeight="1" x14ac:dyDescent="0.15">
      <c r="A3" s="56"/>
      <c r="B3" s="57"/>
      <c r="H3" s="87"/>
      <c r="I3" s="173"/>
      <c r="J3" s="173"/>
      <c r="K3" s="262"/>
    </row>
    <row r="4" spans="1:11" ht="20.100000000000001" customHeight="1" x14ac:dyDescent="0.15">
      <c r="A4" s="58"/>
      <c r="B4" s="22" t="s">
        <v>374</v>
      </c>
      <c r="C4" s="22" t="s">
        <v>384</v>
      </c>
      <c r="D4" s="22" t="s">
        <v>376</v>
      </c>
      <c r="E4" s="22" t="s">
        <v>377</v>
      </c>
      <c r="F4" s="22" t="s">
        <v>378</v>
      </c>
      <c r="G4" s="23" t="s">
        <v>385</v>
      </c>
      <c r="H4" s="1014"/>
      <c r="I4" s="173"/>
      <c r="J4" s="173"/>
      <c r="K4" s="262"/>
    </row>
    <row r="5" spans="1:11" ht="7.9" customHeight="1" x14ac:dyDescent="0.15">
      <c r="A5" s="78"/>
      <c r="B5" s="74"/>
      <c r="C5" s="74"/>
      <c r="D5" s="74"/>
      <c r="E5" s="74"/>
      <c r="F5" s="74"/>
      <c r="G5" s="74"/>
      <c r="H5" s="74"/>
      <c r="I5" s="173"/>
      <c r="J5" s="173"/>
      <c r="K5" s="262"/>
    </row>
    <row r="6" spans="1:11" ht="7.9" customHeight="1" x14ac:dyDescent="0.15">
      <c r="A6" s="954" t="s">
        <v>919</v>
      </c>
      <c r="B6" s="955">
        <f t="shared" ref="B6:G6" si="0">B7+B8</f>
        <v>41331</v>
      </c>
      <c r="C6" s="955">
        <f t="shared" si="0"/>
        <v>19124</v>
      </c>
      <c r="D6" s="955">
        <f t="shared" si="0"/>
        <v>3876</v>
      </c>
      <c r="E6" s="955">
        <f t="shared" si="0"/>
        <v>9677</v>
      </c>
      <c r="F6" s="955">
        <f t="shared" si="0"/>
        <v>11714</v>
      </c>
      <c r="G6" s="955">
        <f t="shared" si="0"/>
        <v>85722</v>
      </c>
      <c r="H6" s="254"/>
      <c r="I6" s="173"/>
      <c r="J6" s="173"/>
      <c r="K6" s="262"/>
    </row>
    <row r="7" spans="1:11" ht="7.9" customHeight="1" x14ac:dyDescent="0.15">
      <c r="A7" s="20" t="s">
        <v>453</v>
      </c>
      <c r="B7" s="150">
        <v>25749</v>
      </c>
      <c r="C7" s="150">
        <v>10818</v>
      </c>
      <c r="D7" s="150">
        <v>2411</v>
      </c>
      <c r="E7" s="150">
        <v>5538</v>
      </c>
      <c r="F7" s="150">
        <v>8626</v>
      </c>
      <c r="G7" s="513">
        <v>53142</v>
      </c>
      <c r="H7" s="1015"/>
      <c r="I7" s="173"/>
      <c r="J7" s="173"/>
      <c r="K7" s="262"/>
    </row>
    <row r="8" spans="1:11" ht="7.9" customHeight="1" x14ac:dyDescent="0.15">
      <c r="A8" s="20" t="s">
        <v>454</v>
      </c>
      <c r="B8" s="150">
        <v>15582</v>
      </c>
      <c r="C8" s="150">
        <v>8306</v>
      </c>
      <c r="D8" s="150">
        <v>1465</v>
      </c>
      <c r="E8" s="150">
        <v>4139</v>
      </c>
      <c r="F8" s="150">
        <v>3088</v>
      </c>
      <c r="G8" s="513">
        <v>32580</v>
      </c>
      <c r="H8" s="1015"/>
      <c r="I8" s="173"/>
      <c r="J8" s="173"/>
      <c r="K8" s="262"/>
    </row>
    <row r="9" spans="1:11" ht="7.9" customHeight="1" x14ac:dyDescent="0.15">
      <c r="A9" s="44" t="s">
        <v>449</v>
      </c>
      <c r="B9" s="149">
        <f t="shared" ref="B9:G9" si="1">B8/B6</f>
        <v>0.37700515351673081</v>
      </c>
      <c r="C9" s="149">
        <f t="shared" si="1"/>
        <v>0.43432336331311439</v>
      </c>
      <c r="D9" s="149">
        <f t="shared" si="1"/>
        <v>0.3779669762641899</v>
      </c>
      <c r="E9" s="149">
        <f t="shared" si="1"/>
        <v>0.42771520099204297</v>
      </c>
      <c r="F9" s="149">
        <f t="shared" si="1"/>
        <v>0.26361618576062829</v>
      </c>
      <c r="G9" s="115">
        <f t="shared" si="1"/>
        <v>0.38006579407853291</v>
      </c>
      <c r="H9" s="1015"/>
      <c r="I9" s="173"/>
      <c r="J9" s="173"/>
      <c r="K9" s="262"/>
    </row>
    <row r="10" spans="1:11" ht="7.9" customHeight="1" x14ac:dyDescent="0.15">
      <c r="A10" s="137"/>
      <c r="B10" s="149"/>
      <c r="C10" s="149"/>
      <c r="D10" s="149"/>
      <c r="E10" s="149"/>
      <c r="F10" s="149"/>
      <c r="G10" s="115"/>
      <c r="H10" s="1015"/>
      <c r="I10" s="173"/>
      <c r="J10" s="173"/>
      <c r="K10" s="262"/>
    </row>
    <row r="11" spans="1:11" ht="7.9" customHeight="1" x14ac:dyDescent="0.15">
      <c r="A11" s="954" t="s">
        <v>920</v>
      </c>
      <c r="B11" s="955">
        <f t="shared" ref="B11:G11" si="2">B12+B13</f>
        <v>10398</v>
      </c>
      <c r="C11" s="955">
        <f t="shared" si="2"/>
        <v>8962</v>
      </c>
      <c r="D11" s="955">
        <f t="shared" si="2"/>
        <v>2177</v>
      </c>
      <c r="E11" s="955">
        <f t="shared" si="2"/>
        <v>5638</v>
      </c>
      <c r="F11" s="955">
        <f t="shared" si="2"/>
        <v>3237</v>
      </c>
      <c r="G11" s="955">
        <f t="shared" si="2"/>
        <v>30412</v>
      </c>
      <c r="H11" s="1015"/>
      <c r="I11" s="173"/>
      <c r="J11" s="173"/>
      <c r="K11" s="262"/>
    </row>
    <row r="12" spans="1:11" ht="7.9" customHeight="1" x14ac:dyDescent="0.15">
      <c r="A12" s="17" t="s">
        <v>450</v>
      </c>
      <c r="B12" s="138">
        <v>7407</v>
      </c>
      <c r="C12" s="138">
        <v>6165</v>
      </c>
      <c r="D12" s="138">
        <v>1568</v>
      </c>
      <c r="E12" s="138">
        <v>3917</v>
      </c>
      <c r="F12" s="138">
        <v>2589</v>
      </c>
      <c r="G12" s="139">
        <v>21646</v>
      </c>
      <c r="H12" s="1015"/>
      <c r="I12" s="173"/>
      <c r="J12" s="173"/>
      <c r="K12" s="262"/>
    </row>
    <row r="13" spans="1:11" ht="7.9" customHeight="1" x14ac:dyDescent="0.15">
      <c r="A13" s="17" t="s">
        <v>445</v>
      </c>
      <c r="B13" s="138">
        <v>2991</v>
      </c>
      <c r="C13" s="138">
        <v>2797</v>
      </c>
      <c r="D13" s="138">
        <v>609</v>
      </c>
      <c r="E13" s="138">
        <v>1721</v>
      </c>
      <c r="F13" s="138">
        <v>648</v>
      </c>
      <c r="G13" s="139">
        <v>8766</v>
      </c>
      <c r="H13" s="1015"/>
      <c r="I13" s="173"/>
      <c r="J13" s="173"/>
      <c r="K13" s="262"/>
    </row>
    <row r="14" spans="1:11" ht="7.9" customHeight="1" x14ac:dyDescent="0.15">
      <c r="A14" s="123" t="s">
        <v>449</v>
      </c>
      <c r="B14" s="151">
        <f t="shared" ref="B14:G14" si="3">B13/B11</f>
        <v>0.2876514714368148</v>
      </c>
      <c r="C14" s="151">
        <f t="shared" si="3"/>
        <v>0.31209551439410843</v>
      </c>
      <c r="D14" s="151">
        <f t="shared" si="3"/>
        <v>0.27974276527331188</v>
      </c>
      <c r="E14" s="151">
        <f t="shared" si="3"/>
        <v>0.3052500886839305</v>
      </c>
      <c r="F14" s="151">
        <f t="shared" si="3"/>
        <v>0.20018535681186284</v>
      </c>
      <c r="G14" s="152">
        <f t="shared" si="3"/>
        <v>0.28824148362488489</v>
      </c>
      <c r="H14" s="1015"/>
      <c r="I14" s="173"/>
      <c r="J14" s="173"/>
      <c r="K14" s="262"/>
    </row>
    <row r="15" spans="1:11" ht="7.9" customHeight="1" x14ac:dyDescent="0.15">
      <c r="A15" s="148"/>
      <c r="B15" s="139"/>
      <c r="C15" s="139"/>
      <c r="D15" s="139"/>
      <c r="E15" s="139"/>
      <c r="F15" s="139"/>
      <c r="G15" s="139"/>
      <c r="H15" s="1015"/>
      <c r="I15" s="173"/>
      <c r="J15" s="173"/>
      <c r="K15" s="262"/>
    </row>
    <row r="16" spans="1:11" ht="7.9" customHeight="1" x14ac:dyDescent="0.15">
      <c r="A16" s="956" t="s">
        <v>181</v>
      </c>
      <c r="B16" s="957">
        <f t="shared" ref="B16:G18" si="4">B11/B6</f>
        <v>0.25157871815344413</v>
      </c>
      <c r="C16" s="957">
        <f t="shared" si="4"/>
        <v>0.46862581049989543</v>
      </c>
      <c r="D16" s="957">
        <f t="shared" si="4"/>
        <v>0.56166150670794635</v>
      </c>
      <c r="E16" s="957">
        <f t="shared" si="4"/>
        <v>0.58261858013847267</v>
      </c>
      <c r="F16" s="957">
        <f t="shared" si="4"/>
        <v>0.27633600819532184</v>
      </c>
      <c r="G16" s="957">
        <f t="shared" si="4"/>
        <v>0.35477473694034206</v>
      </c>
      <c r="H16" s="1015"/>
      <c r="I16" s="173"/>
      <c r="J16" s="173"/>
      <c r="K16" s="262"/>
    </row>
    <row r="17" spans="1:11" ht="7.9" customHeight="1" x14ac:dyDescent="0.15">
      <c r="A17" s="17" t="s">
        <v>450</v>
      </c>
      <c r="B17" s="151">
        <f>B12/B7</f>
        <v>0.28766165676336947</v>
      </c>
      <c r="C17" s="151">
        <f t="shared" si="4"/>
        <v>0.56988352745424298</v>
      </c>
      <c r="D17" s="151">
        <f t="shared" si="4"/>
        <v>0.65035255080879306</v>
      </c>
      <c r="E17" s="151">
        <f t="shared" si="4"/>
        <v>0.70729505236547485</v>
      </c>
      <c r="F17" s="151">
        <f t="shared" si="4"/>
        <v>0.30013911430558776</v>
      </c>
      <c r="G17" s="152">
        <f t="shared" si="4"/>
        <v>0.4073237740393662</v>
      </c>
      <c r="H17" s="1015"/>
      <c r="I17" s="173"/>
      <c r="J17" s="173"/>
      <c r="K17" s="262"/>
    </row>
    <row r="18" spans="1:11" ht="7.9" customHeight="1" x14ac:dyDescent="0.15">
      <c r="A18" s="17" t="s">
        <v>445</v>
      </c>
      <c r="B18" s="151">
        <f>B13/B8</f>
        <v>0.19195225259915286</v>
      </c>
      <c r="C18" s="151">
        <f t="shared" si="4"/>
        <v>0.33674452203226585</v>
      </c>
      <c r="D18" s="151">
        <f t="shared" si="4"/>
        <v>0.41569965870307168</v>
      </c>
      <c r="E18" s="151">
        <f t="shared" si="4"/>
        <v>0.41580091809615849</v>
      </c>
      <c r="F18" s="151">
        <f t="shared" si="4"/>
        <v>0.20984455958549222</v>
      </c>
      <c r="G18" s="152">
        <f>G13/G8</f>
        <v>0.26906077348066298</v>
      </c>
      <c r="H18" s="1015"/>
      <c r="I18" s="173"/>
      <c r="J18" s="173"/>
      <c r="K18" s="262"/>
    </row>
    <row r="19" spans="1:11" ht="7.9" customHeight="1" x14ac:dyDescent="0.15">
      <c r="A19" s="123"/>
      <c r="B19" s="153"/>
      <c r="C19" s="153"/>
      <c r="D19" s="153"/>
      <c r="E19" s="153"/>
      <c r="F19" s="153"/>
      <c r="G19" s="153"/>
      <c r="H19" s="73"/>
      <c r="I19" s="173"/>
      <c r="J19" s="173"/>
      <c r="K19" s="262"/>
    </row>
    <row r="20" spans="1:11" ht="7.9" customHeight="1" x14ac:dyDescent="0.15">
      <c r="A20" s="956" t="s">
        <v>921</v>
      </c>
      <c r="B20" s="958">
        <v>17.5</v>
      </c>
      <c r="C20" s="958">
        <v>9</v>
      </c>
      <c r="D20" s="958">
        <v>5.7</v>
      </c>
      <c r="E20" s="958">
        <v>7.3</v>
      </c>
      <c r="F20" s="958">
        <v>9.9</v>
      </c>
      <c r="G20" s="958">
        <v>11.5</v>
      </c>
      <c r="H20" s="1016"/>
      <c r="I20" s="605"/>
      <c r="J20" s="173"/>
      <c r="K20" s="262"/>
    </row>
    <row r="21" spans="1:11" ht="7.9" customHeight="1" x14ac:dyDescent="0.15">
      <c r="A21" s="17" t="s">
        <v>450</v>
      </c>
      <c r="B21" s="186">
        <v>15.3</v>
      </c>
      <c r="C21" s="186">
        <v>7.2</v>
      </c>
      <c r="D21" s="186">
        <v>4.8</v>
      </c>
      <c r="E21" s="186">
        <v>5.9</v>
      </c>
      <c r="F21" s="186">
        <v>9.6999999999999993</v>
      </c>
      <c r="G21" s="187">
        <v>9.9</v>
      </c>
      <c r="H21" s="1016"/>
      <c r="I21" s="605"/>
      <c r="J21" s="173"/>
      <c r="K21" s="262"/>
    </row>
    <row r="22" spans="1:11" ht="7.9" customHeight="1" x14ac:dyDescent="0.15">
      <c r="A22" s="17" t="s">
        <v>445</v>
      </c>
      <c r="B22" s="186">
        <v>22.8</v>
      </c>
      <c r="C22" s="186">
        <v>12.8</v>
      </c>
      <c r="D22" s="186">
        <v>8.1</v>
      </c>
      <c r="E22" s="186">
        <v>10.6</v>
      </c>
      <c r="F22" s="186">
        <v>10.9</v>
      </c>
      <c r="G22" s="187">
        <v>15.3</v>
      </c>
      <c r="H22" s="1016"/>
      <c r="I22" s="605"/>
      <c r="J22" s="173"/>
      <c r="K22" s="262"/>
    </row>
    <row r="23" spans="1:11" ht="7.9" customHeight="1" thickBot="1" x14ac:dyDescent="0.2">
      <c r="A23" s="1008"/>
      <c r="B23" s="1009"/>
      <c r="C23" s="1009"/>
      <c r="D23" s="1009"/>
      <c r="E23" s="1009"/>
      <c r="F23" s="1009"/>
      <c r="G23" s="1010"/>
      <c r="H23" s="1011"/>
      <c r="I23" s="173"/>
      <c r="J23" s="173"/>
      <c r="K23" s="262"/>
    </row>
    <row r="24" spans="1:11" ht="7.9" customHeight="1" thickTop="1" x14ac:dyDescent="0.15">
      <c r="A24" s="61" t="s">
        <v>722</v>
      </c>
      <c r="B24" s="21"/>
      <c r="C24" s="21"/>
      <c r="D24" s="21"/>
      <c r="E24" s="21"/>
      <c r="F24" s="21"/>
      <c r="G24" s="21"/>
      <c r="H24" s="87"/>
      <c r="I24" s="173"/>
      <c r="J24" s="173"/>
      <c r="K24" s="262"/>
    </row>
    <row r="25" spans="1:11" ht="7.9" customHeight="1" x14ac:dyDescent="0.15">
      <c r="A25" s="283" t="s">
        <v>49</v>
      </c>
      <c r="H25" s="87"/>
      <c r="I25" s="173"/>
      <c r="J25" s="173"/>
      <c r="K25" s="262"/>
    </row>
    <row r="26" spans="1:11" ht="7.9" customHeight="1" x14ac:dyDescent="0.15">
      <c r="A26" s="283" t="s">
        <v>50</v>
      </c>
      <c r="I26" s="173"/>
    </row>
    <row r="27" spans="1:11" ht="7.9" customHeight="1" x14ac:dyDescent="0.15">
      <c r="A27" s="283" t="s">
        <v>498</v>
      </c>
      <c r="I27" s="173"/>
    </row>
    <row r="28" spans="1:11" ht="7.9" customHeight="1" x14ac:dyDescent="0.15"/>
    <row r="29" spans="1:11" ht="7.9" customHeight="1" x14ac:dyDescent="0.15"/>
    <row r="30" spans="1:11" ht="7.9" customHeight="1" x14ac:dyDescent="0.15"/>
    <row r="34" spans="7:7" ht="9.9499999999999993" customHeight="1" x14ac:dyDescent="0.15">
      <c r="G34" s="244"/>
    </row>
  </sheetData>
  <mergeCells count="2">
    <mergeCell ref="A1:G1"/>
    <mergeCell ref="A2:G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K21"/>
  <sheetViews>
    <sheetView zoomScale="140" zoomScaleNormal="140" workbookViewId="0">
      <selection sqref="A1:H1"/>
    </sheetView>
  </sheetViews>
  <sheetFormatPr baseColWidth="10" defaultRowHeight="9.9499999999999993" customHeight="1" x14ac:dyDescent="0.15"/>
  <cols>
    <col min="1" max="1" width="27.85546875" style="521" customWidth="1"/>
    <col min="2" max="6" width="6.7109375" style="521" customWidth="1"/>
    <col min="7" max="7" width="6.85546875" style="521" customWidth="1"/>
    <col min="8" max="8" width="9.28515625" style="539" customWidth="1"/>
    <col min="9" max="9" width="7.7109375" style="539" customWidth="1"/>
    <col min="10" max="10" width="21.42578125" style="520" customWidth="1"/>
    <col min="11" max="11" width="11.42578125" style="520"/>
    <col min="12" max="16384" width="11.42578125" style="521"/>
  </cols>
  <sheetData>
    <row r="1" spans="1:11" ht="15" customHeight="1" x14ac:dyDescent="0.15">
      <c r="A1" s="1032" t="s">
        <v>451</v>
      </c>
      <c r="B1" s="1032"/>
      <c r="C1" s="1032"/>
      <c r="D1" s="1032"/>
      <c r="E1" s="1032"/>
      <c r="F1" s="1032"/>
      <c r="G1" s="1032"/>
      <c r="H1" s="1032"/>
      <c r="I1" s="195"/>
      <c r="J1" s="519"/>
    </row>
    <row r="2" spans="1:11" ht="9.9499999999999993" customHeight="1" x14ac:dyDescent="0.2">
      <c r="A2" s="1033" t="s">
        <v>824</v>
      </c>
      <c r="B2" s="1033"/>
      <c r="C2" s="1033"/>
      <c r="D2" s="1033"/>
      <c r="E2" s="1033"/>
      <c r="F2" s="1033"/>
      <c r="G2" s="1033"/>
      <c r="H2" s="1033"/>
      <c r="I2" s="867"/>
      <c r="J2" s="519"/>
    </row>
    <row r="3" spans="1:11" ht="7.9" customHeight="1" x14ac:dyDescent="0.15">
      <c r="A3" s="522"/>
      <c r="B3" s="523"/>
      <c r="H3" s="518"/>
      <c r="I3" s="518"/>
      <c r="J3" s="519"/>
    </row>
    <row r="4" spans="1:11" ht="20.100000000000001" customHeight="1" x14ac:dyDescent="0.15">
      <c r="A4" s="524"/>
      <c r="B4" s="525" t="s">
        <v>374</v>
      </c>
      <c r="C4" s="525" t="s">
        <v>384</v>
      </c>
      <c r="D4" s="525" t="s">
        <v>376</v>
      </c>
      <c r="E4" s="525" t="s">
        <v>377</v>
      </c>
      <c r="F4" s="525" t="s">
        <v>378</v>
      </c>
      <c r="G4" s="526" t="s">
        <v>385</v>
      </c>
      <c r="H4" s="525" t="s">
        <v>380</v>
      </c>
      <c r="I4" s="518"/>
      <c r="J4" s="519"/>
    </row>
    <row r="5" spans="1:11" ht="7.9" customHeight="1" x14ac:dyDescent="0.15">
      <c r="A5" s="527"/>
      <c r="B5" s="528"/>
      <c r="C5" s="528"/>
      <c r="D5" s="528"/>
      <c r="E5" s="528"/>
      <c r="F5" s="528"/>
      <c r="G5" s="529"/>
      <c r="H5" s="518"/>
      <c r="I5" s="518"/>
      <c r="J5" s="519"/>
    </row>
    <row r="6" spans="1:11" ht="7.5" customHeight="1" x14ac:dyDescent="0.15">
      <c r="A6" s="959" t="s">
        <v>293</v>
      </c>
      <c r="B6" s="960">
        <v>1004</v>
      </c>
      <c r="C6" s="961">
        <v>86</v>
      </c>
      <c r="D6" s="961">
        <v>12</v>
      </c>
      <c r="E6" s="961">
        <v>145</v>
      </c>
      <c r="F6" s="961">
        <v>262</v>
      </c>
      <c r="G6" s="961">
        <f>SUM(B6:F6)</f>
        <v>1509</v>
      </c>
      <c r="H6" s="961">
        <v>86248</v>
      </c>
      <c r="I6" s="351"/>
      <c r="J6" s="519"/>
    </row>
    <row r="7" spans="1:11" s="531" customFormat="1" ht="7.5" customHeight="1" x14ac:dyDescent="0.15">
      <c r="A7" s="531" t="s">
        <v>294</v>
      </c>
      <c r="B7" s="698">
        <v>13</v>
      </c>
      <c r="C7" s="698">
        <v>0</v>
      </c>
      <c r="D7" s="698">
        <v>0</v>
      </c>
      <c r="E7" s="698">
        <v>1</v>
      </c>
      <c r="F7" s="698">
        <v>2</v>
      </c>
      <c r="G7" s="530">
        <f t="shared" ref="G7:G12" si="0">SUM(B7:F7)</f>
        <v>16</v>
      </c>
      <c r="H7" s="693">
        <v>501</v>
      </c>
      <c r="I7" s="518"/>
      <c r="J7" s="519"/>
      <c r="K7" s="519"/>
    </row>
    <row r="8" spans="1:11" ht="7.5" customHeight="1" x14ac:dyDescent="0.15">
      <c r="A8" s="531" t="s">
        <v>295</v>
      </c>
      <c r="B8" s="532">
        <v>991</v>
      </c>
      <c r="C8" s="532">
        <v>86</v>
      </c>
      <c r="D8" s="532">
        <v>12</v>
      </c>
      <c r="E8" s="532">
        <v>144</v>
      </c>
      <c r="F8" s="532">
        <v>260</v>
      </c>
      <c r="G8" s="530">
        <f t="shared" si="0"/>
        <v>1493</v>
      </c>
      <c r="H8" s="693">
        <v>85747</v>
      </c>
      <c r="I8" s="518"/>
      <c r="J8" s="519"/>
    </row>
    <row r="9" spans="1:11" ht="7.5" customHeight="1" x14ac:dyDescent="0.15">
      <c r="A9" s="533" t="s">
        <v>296</v>
      </c>
      <c r="B9" s="534">
        <v>275</v>
      </c>
      <c r="C9" s="535">
        <v>23</v>
      </c>
      <c r="D9" s="535">
        <v>1</v>
      </c>
      <c r="E9" s="535">
        <v>43</v>
      </c>
      <c r="F9" s="535">
        <v>77</v>
      </c>
      <c r="G9" s="536">
        <f t="shared" si="0"/>
        <v>419</v>
      </c>
      <c r="H9" s="693">
        <v>25827</v>
      </c>
      <c r="I9" s="518"/>
      <c r="J9" s="519"/>
    </row>
    <row r="10" spans="1:11" ht="7.5" customHeight="1" x14ac:dyDescent="0.15">
      <c r="A10" s="533" t="s">
        <v>297</v>
      </c>
      <c r="B10" s="534">
        <v>514</v>
      </c>
      <c r="C10" s="535">
        <v>46</v>
      </c>
      <c r="D10" s="535">
        <v>7</v>
      </c>
      <c r="E10" s="535">
        <v>67</v>
      </c>
      <c r="F10" s="535">
        <v>141</v>
      </c>
      <c r="G10" s="536">
        <f t="shared" si="0"/>
        <v>775</v>
      </c>
      <c r="H10" s="693">
        <v>53336</v>
      </c>
      <c r="I10" s="518"/>
      <c r="J10" s="519"/>
    </row>
    <row r="11" spans="1:11" ht="7.5" customHeight="1" x14ac:dyDescent="0.15">
      <c r="A11" s="533" t="s">
        <v>298</v>
      </c>
      <c r="B11" s="534">
        <v>141</v>
      </c>
      <c r="C11" s="535">
        <v>12</v>
      </c>
      <c r="D11" s="535">
        <v>3</v>
      </c>
      <c r="E11" s="535">
        <v>18</v>
      </c>
      <c r="F11" s="535">
        <v>39</v>
      </c>
      <c r="G11" s="536">
        <f t="shared" si="0"/>
        <v>213</v>
      </c>
      <c r="H11" s="693">
        <v>4675</v>
      </c>
      <c r="I11" s="518"/>
      <c r="J11" s="519"/>
    </row>
    <row r="12" spans="1:11" ht="7.5" customHeight="1" x14ac:dyDescent="0.15">
      <c r="A12" s="533" t="s">
        <v>299</v>
      </c>
      <c r="B12" s="534">
        <v>61</v>
      </c>
      <c r="C12" s="535">
        <v>5</v>
      </c>
      <c r="D12" s="535">
        <v>1</v>
      </c>
      <c r="E12" s="535">
        <v>16</v>
      </c>
      <c r="F12" s="535">
        <v>3</v>
      </c>
      <c r="G12" s="536">
        <f t="shared" si="0"/>
        <v>86</v>
      </c>
      <c r="H12" s="693">
        <v>1909</v>
      </c>
      <c r="I12" s="518"/>
      <c r="J12" s="519"/>
    </row>
    <row r="13" spans="1:11" ht="7.5" customHeight="1" x14ac:dyDescent="0.15"/>
    <row r="14" spans="1:11" ht="7.5" customHeight="1" x14ac:dyDescent="0.15">
      <c r="A14" s="959" t="s">
        <v>606</v>
      </c>
      <c r="B14" s="960">
        <v>117</v>
      </c>
      <c r="C14" s="961">
        <v>13</v>
      </c>
      <c r="D14" s="961">
        <v>1</v>
      </c>
      <c r="E14" s="961">
        <v>9</v>
      </c>
      <c r="F14" s="961">
        <v>9</v>
      </c>
      <c r="G14" s="961">
        <f>SUM(B14:F14)</f>
        <v>149</v>
      </c>
      <c r="H14" s="961">
        <v>10539</v>
      </c>
      <c r="I14" s="702"/>
    </row>
    <row r="15" spans="1:11" ht="7.5" customHeight="1" x14ac:dyDescent="0.15">
      <c r="A15" s="699" t="s">
        <v>294</v>
      </c>
      <c r="B15" s="363">
        <v>8</v>
      </c>
      <c r="C15" s="363">
        <v>0</v>
      </c>
      <c r="D15" s="363">
        <v>0</v>
      </c>
      <c r="E15" s="363">
        <v>0</v>
      </c>
      <c r="F15" s="363">
        <v>0</v>
      </c>
      <c r="G15" s="700">
        <f t="shared" ref="G15" si="1">G14-G16</f>
        <v>9</v>
      </c>
      <c r="H15" s="363">
        <v>69</v>
      </c>
      <c r="I15" s="702"/>
    </row>
    <row r="16" spans="1:11" ht="7.5" customHeight="1" x14ac:dyDescent="0.15">
      <c r="A16" s="699" t="s">
        <v>295</v>
      </c>
      <c r="B16" s="363">
        <v>109</v>
      </c>
      <c r="C16" s="363">
        <v>13</v>
      </c>
      <c r="D16" s="363">
        <v>1</v>
      </c>
      <c r="E16" s="363">
        <v>9</v>
      </c>
      <c r="F16" s="363">
        <v>9</v>
      </c>
      <c r="G16" s="700">
        <f t="shared" ref="G16" si="2">SUM(G17:G19)</f>
        <v>140</v>
      </c>
      <c r="H16" s="363">
        <v>10470</v>
      </c>
      <c r="I16" s="702"/>
    </row>
    <row r="17" spans="1:10" ht="7.5" customHeight="1" x14ac:dyDescent="0.15">
      <c r="A17" s="679" t="s">
        <v>296</v>
      </c>
      <c r="B17" s="694">
        <v>60</v>
      </c>
      <c r="C17" s="695">
        <v>2</v>
      </c>
      <c r="D17" s="695">
        <v>0</v>
      </c>
      <c r="E17" s="695">
        <v>5</v>
      </c>
      <c r="F17" s="695">
        <v>0</v>
      </c>
      <c r="G17" s="701">
        <f>SUM(B17:F17)</f>
        <v>67</v>
      </c>
      <c r="H17" s="696">
        <v>5236</v>
      </c>
      <c r="I17" s="702"/>
    </row>
    <row r="18" spans="1:10" ht="7.5" customHeight="1" x14ac:dyDescent="0.15">
      <c r="A18" s="679" t="s">
        <v>297</v>
      </c>
      <c r="B18" s="694">
        <v>43</v>
      </c>
      <c r="C18" s="695">
        <v>11</v>
      </c>
      <c r="D18" s="695">
        <v>1</v>
      </c>
      <c r="E18" s="695">
        <v>3</v>
      </c>
      <c r="F18" s="695">
        <v>9</v>
      </c>
      <c r="G18" s="701">
        <f>SUM(B18:F18)</f>
        <v>67</v>
      </c>
      <c r="H18" s="696">
        <v>4574</v>
      </c>
      <c r="I18" s="702"/>
    </row>
    <row r="19" spans="1:10" ht="7.5" customHeight="1" x14ac:dyDescent="0.15">
      <c r="A19" s="679" t="s">
        <v>298</v>
      </c>
      <c r="B19" s="694">
        <v>6</v>
      </c>
      <c r="C19" s="695">
        <v>0</v>
      </c>
      <c r="D19" s="695">
        <v>0</v>
      </c>
      <c r="E19" s="695">
        <v>0</v>
      </c>
      <c r="F19" s="695">
        <v>0</v>
      </c>
      <c r="G19" s="701">
        <f>SUM(B19:F19)</f>
        <v>6</v>
      </c>
      <c r="H19" s="697">
        <v>568</v>
      </c>
      <c r="I19" s="702"/>
    </row>
    <row r="20" spans="1:10" ht="7.5" customHeight="1" thickBot="1" x14ac:dyDescent="0.2">
      <c r="A20" s="1008"/>
      <c r="B20" s="1009"/>
      <c r="C20" s="1009"/>
      <c r="D20" s="1009"/>
      <c r="E20" s="1009"/>
      <c r="F20" s="1009"/>
      <c r="G20" s="1010"/>
      <c r="H20" s="1010"/>
      <c r="I20" s="518"/>
      <c r="J20" s="519"/>
    </row>
    <row r="21" spans="1:10" ht="7.5" customHeight="1" thickTop="1" x14ac:dyDescent="0.15">
      <c r="A21" s="537" t="s">
        <v>918</v>
      </c>
      <c r="B21" s="538"/>
      <c r="C21" s="538"/>
      <c r="D21" s="538"/>
      <c r="E21" s="538"/>
      <c r="F21" s="538"/>
      <c r="G21" s="538"/>
      <c r="H21" s="518"/>
      <c r="I21" s="518"/>
      <c r="J21" s="519"/>
    </row>
  </sheetData>
  <sheetProtection selectLockedCells="1" selectUnlockedCells="1"/>
  <mergeCells count="2">
    <mergeCell ref="A1:H1"/>
    <mergeCell ref="A2:H2"/>
  </mergeCells>
  <pageMargins left="0.59027777777777779" right="0.59027777777777779" top="0.78749999999999998" bottom="0.78749999999999998" header="0.51180555555555551" footer="0.51180555555555551"/>
  <pageSetup paperSize="9" firstPageNumber="0"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Z33"/>
  <sheetViews>
    <sheetView zoomScale="140" zoomScaleNormal="140" workbookViewId="0">
      <selection activeCell="B27" sqref="B27"/>
    </sheetView>
  </sheetViews>
  <sheetFormatPr baseColWidth="10" defaultRowHeight="9.9499999999999993" customHeight="1" x14ac:dyDescent="0.15"/>
  <cols>
    <col min="1" max="1" width="30.7109375" style="53" customWidth="1"/>
    <col min="2" max="6" width="6.7109375" style="53" customWidth="1"/>
    <col min="7" max="7" width="6.85546875" style="53" customWidth="1"/>
    <col min="8" max="8" width="9.7109375" style="54" customWidth="1"/>
    <col min="9" max="10" width="7.7109375" style="241" customWidth="1"/>
    <col min="11" max="11" width="21.42578125" style="259" customWidth="1"/>
    <col min="12" max="12" width="11.42578125" style="259" customWidth="1"/>
    <col min="13" max="16384" width="11.42578125" style="53"/>
  </cols>
  <sheetData>
    <row r="1" spans="1:17" ht="15" customHeight="1" x14ac:dyDescent="0.15">
      <c r="A1" s="1019" t="s">
        <v>452</v>
      </c>
      <c r="B1" s="1019"/>
      <c r="C1" s="1019"/>
      <c r="D1" s="1019"/>
      <c r="E1" s="1019"/>
      <c r="F1" s="1019"/>
      <c r="G1" s="1019"/>
      <c r="H1" s="1019"/>
      <c r="I1" s="173"/>
    </row>
    <row r="2" spans="1:17" ht="9.9499999999999993" customHeight="1" x14ac:dyDescent="0.15">
      <c r="A2" s="1021" t="s">
        <v>825</v>
      </c>
      <c r="B2" s="1021"/>
      <c r="C2" s="1021"/>
      <c r="D2" s="1021"/>
      <c r="E2" s="1021"/>
      <c r="F2" s="1021"/>
      <c r="G2" s="1021"/>
      <c r="H2" s="1021"/>
      <c r="I2" s="173"/>
      <c r="J2" s="173"/>
    </row>
    <row r="3" spans="1:17" ht="7.9" customHeight="1" x14ac:dyDescent="0.15">
      <c r="A3" s="56"/>
      <c r="B3" s="57"/>
      <c r="I3" s="173"/>
    </row>
    <row r="4" spans="1:17" ht="20.100000000000001" customHeight="1" x14ac:dyDescent="0.15">
      <c r="A4" s="58"/>
      <c r="B4" s="22" t="s">
        <v>374</v>
      </c>
      <c r="C4" s="22" t="s">
        <v>384</v>
      </c>
      <c r="D4" s="22" t="s">
        <v>376</v>
      </c>
      <c r="E4" s="22" t="s">
        <v>377</v>
      </c>
      <c r="F4" s="22" t="s">
        <v>378</v>
      </c>
      <c r="G4" s="23" t="s">
        <v>385</v>
      </c>
      <c r="H4" s="88" t="s">
        <v>380</v>
      </c>
      <c r="I4" s="173"/>
    </row>
    <row r="5" spans="1:17" ht="7.5" customHeight="1" x14ac:dyDescent="0.15">
      <c r="A5" s="929" t="s">
        <v>464</v>
      </c>
      <c r="B5" s="962"/>
      <c r="C5" s="962"/>
      <c r="D5" s="962"/>
      <c r="E5" s="962"/>
      <c r="F5" s="962"/>
      <c r="G5" s="962"/>
      <c r="H5" s="929"/>
    </row>
    <row r="6" spans="1:17" ht="7.9" customHeight="1" x14ac:dyDescent="0.15">
      <c r="A6" s="53" t="s">
        <v>463</v>
      </c>
      <c r="B6" s="406">
        <v>635</v>
      </c>
      <c r="C6" s="406">
        <v>649</v>
      </c>
      <c r="D6" s="406">
        <v>160</v>
      </c>
      <c r="E6" s="406">
        <v>439</v>
      </c>
      <c r="F6" s="406">
        <v>291</v>
      </c>
      <c r="G6" s="514">
        <f>SUM(B6:F6)</f>
        <v>2174</v>
      </c>
      <c r="H6" s="407">
        <v>26120</v>
      </c>
    </row>
    <row r="7" spans="1:17" ht="7.9" customHeight="1" x14ac:dyDescent="0.15">
      <c r="A7" s="53" t="s">
        <v>189</v>
      </c>
      <c r="B7" s="406">
        <v>50</v>
      </c>
      <c r="C7" s="406">
        <v>0</v>
      </c>
      <c r="D7" s="406">
        <v>0</v>
      </c>
      <c r="E7" s="406">
        <v>0</v>
      </c>
      <c r="F7" s="406">
        <v>0</v>
      </c>
      <c r="G7" s="514">
        <f>SUM(B7:F7)</f>
        <v>50</v>
      </c>
      <c r="H7" s="407">
        <v>1536</v>
      </c>
      <c r="J7" s="269"/>
      <c r="K7" s="270"/>
      <c r="L7" s="270"/>
      <c r="M7" s="80"/>
      <c r="N7" s="80"/>
      <c r="O7" s="80"/>
      <c r="P7" s="80"/>
      <c r="Q7" s="80"/>
    </row>
    <row r="8" spans="1:17" ht="7.9" customHeight="1" x14ac:dyDescent="0.15">
      <c r="B8" s="127"/>
      <c r="C8" s="127"/>
      <c r="D8" s="127"/>
      <c r="E8" s="127"/>
      <c r="F8" s="127"/>
      <c r="G8" s="515"/>
      <c r="H8" s="154"/>
      <c r="J8" s="269"/>
      <c r="K8" s="270"/>
      <c r="L8" s="270"/>
      <c r="M8" s="80"/>
      <c r="N8" s="80"/>
      <c r="O8" s="80"/>
      <c r="P8" s="80"/>
      <c r="Q8" s="80"/>
    </row>
    <row r="9" spans="1:17" ht="7.9" customHeight="1" x14ac:dyDescent="0.15">
      <c r="A9" s="929" t="s">
        <v>182</v>
      </c>
      <c r="B9" s="962">
        <f t="shared" ref="B9:G9" si="0">SUM(B10:B12)</f>
        <v>803</v>
      </c>
      <c r="C9" s="962">
        <f t="shared" si="0"/>
        <v>345</v>
      </c>
      <c r="D9" s="962">
        <f t="shared" si="0"/>
        <v>112</v>
      </c>
      <c r="E9" s="962">
        <f t="shared" si="0"/>
        <v>299</v>
      </c>
      <c r="F9" s="962">
        <f t="shared" si="0"/>
        <v>227</v>
      </c>
      <c r="G9" s="962">
        <f t="shared" si="0"/>
        <v>1786</v>
      </c>
      <c r="H9" s="929">
        <f>SUM(H10:H12)</f>
        <v>41394</v>
      </c>
      <c r="I9" s="803"/>
      <c r="J9" s="269"/>
      <c r="K9" s="270"/>
      <c r="L9" s="270"/>
      <c r="M9" s="80"/>
      <c r="N9" s="80"/>
      <c r="O9" s="80"/>
      <c r="P9" s="80"/>
      <c r="Q9" s="80"/>
    </row>
    <row r="10" spans="1:17" ht="7.9" customHeight="1" x14ac:dyDescent="0.15">
      <c r="A10" s="180" t="s">
        <v>473</v>
      </c>
      <c r="B10" s="89">
        <v>112</v>
      </c>
      <c r="C10" s="89">
        <v>69</v>
      </c>
      <c r="D10" s="89">
        <v>14</v>
      </c>
      <c r="E10" s="89">
        <v>0</v>
      </c>
      <c r="F10" s="89">
        <v>43</v>
      </c>
      <c r="G10" s="142">
        <f>SUM(B10:F10)</f>
        <v>238</v>
      </c>
      <c r="H10" s="185">
        <f>74+7080</f>
        <v>7154</v>
      </c>
      <c r="I10" s="676"/>
      <c r="J10" s="703"/>
      <c r="K10" s="270"/>
      <c r="L10" s="270"/>
      <c r="M10" s="80"/>
      <c r="N10" s="80"/>
      <c r="O10" s="80"/>
      <c r="P10" s="80"/>
      <c r="Q10" s="80"/>
    </row>
    <row r="11" spans="1:17" ht="7.9" customHeight="1" x14ac:dyDescent="0.15">
      <c r="A11" s="180" t="s">
        <v>474</v>
      </c>
      <c r="B11" s="89">
        <v>52</v>
      </c>
      <c r="C11" s="89">
        <v>42</v>
      </c>
      <c r="D11" s="89">
        <v>18</v>
      </c>
      <c r="E11" s="89">
        <v>113</v>
      </c>
      <c r="F11" s="89">
        <v>46</v>
      </c>
      <c r="G11" s="142">
        <f>SUM(B11:F11)</f>
        <v>271</v>
      </c>
      <c r="H11" s="185">
        <f>3454</f>
        <v>3454</v>
      </c>
      <c r="I11" s="676"/>
      <c r="J11" s="703"/>
      <c r="K11" s="267"/>
      <c r="L11" s="267"/>
      <c r="M11" s="84"/>
      <c r="N11" s="84"/>
      <c r="O11" s="67"/>
      <c r="P11" s="67"/>
      <c r="Q11" s="67"/>
    </row>
    <row r="12" spans="1:17" ht="7.9" customHeight="1" x14ac:dyDescent="0.15">
      <c r="A12" s="180" t="s">
        <v>475</v>
      </c>
      <c r="B12" s="89">
        <v>639</v>
      </c>
      <c r="C12" s="89">
        <v>234</v>
      </c>
      <c r="D12" s="89">
        <v>80</v>
      </c>
      <c r="E12" s="89">
        <v>186</v>
      </c>
      <c r="F12" s="89">
        <v>138</v>
      </c>
      <c r="G12" s="142">
        <f>SUM(B12:F12)</f>
        <v>1277</v>
      </c>
      <c r="H12" s="185">
        <f>527+30259</f>
        <v>30786</v>
      </c>
      <c r="I12" s="676"/>
      <c r="J12" s="703"/>
      <c r="K12" s="267"/>
      <c r="L12" s="267"/>
      <c r="M12" s="84"/>
      <c r="N12" s="84"/>
      <c r="O12" s="67"/>
      <c r="P12" s="67"/>
      <c r="Q12" s="67"/>
    </row>
    <row r="13" spans="1:17" ht="7.9" customHeight="1" x14ac:dyDescent="0.15">
      <c r="A13" s="181" t="s">
        <v>826</v>
      </c>
      <c r="B13" s="342">
        <v>0.24</v>
      </c>
      <c r="C13" s="342">
        <v>0.08</v>
      </c>
      <c r="D13" s="342">
        <v>0.15</v>
      </c>
      <c r="E13" s="908">
        <v>0.01</v>
      </c>
      <c r="F13" s="342">
        <v>0.24</v>
      </c>
      <c r="G13" s="516">
        <v>0.14000000000000001</v>
      </c>
      <c r="H13" s="585" t="s">
        <v>239</v>
      </c>
      <c r="I13" s="338"/>
      <c r="J13" s="703"/>
      <c r="K13" s="267"/>
      <c r="L13" s="267"/>
      <c r="M13" s="84"/>
      <c r="N13" s="84"/>
      <c r="O13" s="67"/>
      <c r="P13" s="67"/>
      <c r="Q13" s="67"/>
    </row>
    <row r="14" spans="1:17" ht="7.9" customHeight="1" x14ac:dyDescent="0.15">
      <c r="A14" s="181" t="s">
        <v>827</v>
      </c>
      <c r="B14" s="342">
        <v>0.32</v>
      </c>
      <c r="C14" s="342">
        <v>0.21</v>
      </c>
      <c r="D14" s="343">
        <v>0.41</v>
      </c>
      <c r="E14" s="342">
        <v>0.23</v>
      </c>
      <c r="F14" s="342">
        <v>0.32</v>
      </c>
      <c r="G14" s="516">
        <v>0.27</v>
      </c>
      <c r="H14" s="585" t="s">
        <v>239</v>
      </c>
      <c r="I14" s="338"/>
      <c r="J14" s="703"/>
      <c r="K14" s="267"/>
      <c r="L14" s="267"/>
      <c r="M14" s="84"/>
      <c r="N14" s="84"/>
      <c r="O14" s="67"/>
      <c r="P14" s="67"/>
      <c r="Q14" s="67"/>
    </row>
    <row r="15" spans="1:17" ht="7.9" customHeight="1" x14ac:dyDescent="0.15">
      <c r="G15" s="21"/>
      <c r="I15" s="676"/>
      <c r="J15" s="703"/>
      <c r="K15" s="267"/>
      <c r="L15" s="267"/>
      <c r="M15" s="84"/>
      <c r="N15" s="84"/>
      <c r="O15" s="67"/>
      <c r="P15" s="67"/>
      <c r="Q15" s="67"/>
    </row>
    <row r="16" spans="1:17" ht="7.9" customHeight="1" x14ac:dyDescent="0.15">
      <c r="A16" s="929" t="s">
        <v>516</v>
      </c>
      <c r="B16" s="962">
        <f>B17+B18+B19</f>
        <v>319</v>
      </c>
      <c r="C16" s="962">
        <f t="shared" ref="C16:H16" si="1">C17+C18+C19</f>
        <v>202</v>
      </c>
      <c r="D16" s="962">
        <f t="shared" si="1"/>
        <v>63</v>
      </c>
      <c r="E16" s="962">
        <f t="shared" si="1"/>
        <v>114</v>
      </c>
      <c r="F16" s="962">
        <f t="shared" si="1"/>
        <v>10</v>
      </c>
      <c r="G16" s="962">
        <f t="shared" si="1"/>
        <v>708</v>
      </c>
      <c r="H16" s="929">
        <f t="shared" si="1"/>
        <v>31226</v>
      </c>
      <c r="I16" s="676"/>
      <c r="J16" s="703"/>
      <c r="K16" s="267"/>
      <c r="L16" s="267"/>
      <c r="M16" s="84"/>
      <c r="N16" s="84"/>
      <c r="O16" s="67"/>
      <c r="P16" s="67"/>
      <c r="Q16" s="67"/>
    </row>
    <row r="17" spans="1:26" ht="7.9" customHeight="1" x14ac:dyDescent="0.15">
      <c r="A17" s="61" t="s">
        <v>603</v>
      </c>
      <c r="B17" s="517">
        <v>109</v>
      </c>
      <c r="C17" s="586">
        <v>183</v>
      </c>
      <c r="D17" s="586">
        <v>63</v>
      </c>
      <c r="E17" s="586">
        <v>90</v>
      </c>
      <c r="F17" s="586">
        <v>1</v>
      </c>
      <c r="G17" s="142">
        <f>SUM(B17:F17)</f>
        <v>446</v>
      </c>
      <c r="H17" s="185">
        <f>793+24456</f>
        <v>25249</v>
      </c>
      <c r="I17" s="676"/>
      <c r="J17" s="703"/>
      <c r="K17" s="267"/>
      <c r="L17" s="267"/>
      <c r="M17" s="84"/>
      <c r="N17" s="84"/>
      <c r="O17" s="67"/>
      <c r="P17" s="67"/>
      <c r="Q17" s="67"/>
    </row>
    <row r="18" spans="1:26" ht="7.9" customHeight="1" x14ac:dyDescent="0.15">
      <c r="A18" s="61" t="s">
        <v>604</v>
      </c>
      <c r="B18" s="517">
        <v>15</v>
      </c>
      <c r="C18" s="586">
        <v>19</v>
      </c>
      <c r="D18" s="586">
        <v>0</v>
      </c>
      <c r="E18" s="586">
        <v>24</v>
      </c>
      <c r="F18" s="586">
        <v>9</v>
      </c>
      <c r="G18" s="142">
        <f>SUM(B18:F18)</f>
        <v>67</v>
      </c>
      <c r="H18" s="185">
        <f>4626</f>
        <v>4626</v>
      </c>
      <c r="I18" s="676"/>
      <c r="J18" s="703"/>
      <c r="K18" s="267"/>
      <c r="L18" s="267"/>
      <c r="M18" s="84"/>
      <c r="N18" s="84"/>
      <c r="O18" s="67"/>
      <c r="P18" s="67"/>
      <c r="Q18" s="67"/>
    </row>
    <row r="19" spans="1:26" ht="7.9" customHeight="1" x14ac:dyDescent="0.15">
      <c r="A19" s="61" t="s">
        <v>605</v>
      </c>
      <c r="B19" s="517">
        <v>195</v>
      </c>
      <c r="C19" s="586">
        <v>0</v>
      </c>
      <c r="D19" s="586">
        <v>0</v>
      </c>
      <c r="E19" s="586">
        <v>0</v>
      </c>
      <c r="F19" s="586">
        <v>0</v>
      </c>
      <c r="G19" s="142">
        <f>SUM(B19:F19)</f>
        <v>195</v>
      </c>
      <c r="H19" s="185">
        <f>261+22+1068</f>
        <v>1351</v>
      </c>
      <c r="I19" s="676"/>
      <c r="J19" s="703"/>
      <c r="K19" s="267"/>
      <c r="L19" s="267"/>
      <c r="M19" s="84"/>
      <c r="N19" s="84"/>
      <c r="O19" s="67"/>
      <c r="P19" s="67"/>
      <c r="Q19" s="67"/>
    </row>
    <row r="20" spans="1:26" ht="7.9" customHeight="1" x14ac:dyDescent="0.15">
      <c r="A20" s="61"/>
      <c r="B20" s="517"/>
      <c r="C20" s="586"/>
      <c r="D20" s="586"/>
      <c r="E20" s="586"/>
      <c r="F20" s="586"/>
      <c r="G20" s="142"/>
      <c r="H20" s="185"/>
      <c r="I20" s="676"/>
      <c r="J20" s="257"/>
      <c r="K20" s="267"/>
      <c r="L20" s="267"/>
      <c r="M20" s="84"/>
      <c r="N20" s="84"/>
      <c r="O20" s="67"/>
      <c r="P20" s="67"/>
      <c r="Q20" s="67"/>
    </row>
    <row r="21" spans="1:26" ht="7.9" customHeight="1" x14ac:dyDescent="0.15">
      <c r="A21" s="649" t="s">
        <v>313</v>
      </c>
      <c r="B21" s="650">
        <f>(B9+B16)/(SUM('page 7 Démo'!B10:B12))*1000</f>
        <v>1.6247753624972305</v>
      </c>
      <c r="C21" s="650">
        <f>(C9+C16)/(SUM('page 7 Démo'!C10:C12))*1000</f>
        <v>1.3645185270184645</v>
      </c>
      <c r="D21" s="650">
        <f>(D9+D16)/(SUM('page 7 Démo'!D10:D12))*1000</f>
        <v>1.1831519167061051</v>
      </c>
      <c r="E21" s="650">
        <f>(E9+E16)/(SUM('page 7 Démo'!E10:E12))*1000</f>
        <v>1.4853336785924935</v>
      </c>
      <c r="F21" s="650">
        <f>(F9+F16)/(SUM('page 7 Démo'!F10:F12))*1000</f>
        <v>0.75042270646123455</v>
      </c>
      <c r="G21" s="650">
        <f>(G9+G16)/(SUM('page 7 Démo'!G10:G12))*1000</f>
        <v>1.3604514473206906</v>
      </c>
      <c r="H21" s="650">
        <f>(H9+H16)/(SUM('page 7 Démo'!H10:H12))*1000</f>
        <v>2.2161071255564755</v>
      </c>
      <c r="I21" s="676"/>
      <c r="J21" s="344"/>
      <c r="K21" s="267"/>
      <c r="L21" s="267"/>
      <c r="M21" s="84"/>
      <c r="N21" s="84"/>
      <c r="O21" s="67"/>
      <c r="P21" s="67"/>
      <c r="Q21" s="67"/>
      <c r="R21" s="65"/>
      <c r="S21" s="65"/>
      <c r="T21" s="65"/>
      <c r="U21" s="65"/>
      <c r="V21" s="65"/>
      <c r="W21" s="65"/>
      <c r="X21" s="65"/>
      <c r="Y21" s="65"/>
      <c r="Z21" s="65"/>
    </row>
    <row r="22" spans="1:26" ht="7.9" customHeight="1" x14ac:dyDescent="0.15">
      <c r="A22" s="19"/>
      <c r="B22" s="89"/>
      <c r="C22" s="89"/>
      <c r="D22" s="89"/>
      <c r="E22" s="89"/>
      <c r="F22" s="89"/>
      <c r="G22" s="26"/>
      <c r="H22" s="73"/>
      <c r="J22" s="257"/>
      <c r="K22" s="267"/>
      <c r="L22" s="267"/>
      <c r="M22" s="84"/>
      <c r="N22" s="84"/>
      <c r="O22" s="67"/>
      <c r="P22" s="67"/>
      <c r="Q22" s="67"/>
      <c r="R22" s="65"/>
      <c r="S22" s="65"/>
      <c r="T22" s="65"/>
      <c r="U22" s="65"/>
      <c r="V22" s="65"/>
      <c r="W22" s="65"/>
      <c r="X22" s="65"/>
      <c r="Y22" s="65"/>
      <c r="Z22" s="65"/>
    </row>
    <row r="23" spans="1:26" ht="7.9" customHeight="1" x14ac:dyDescent="0.15">
      <c r="A23" s="929" t="s">
        <v>544</v>
      </c>
      <c r="B23" s="962"/>
      <c r="C23" s="962"/>
      <c r="D23" s="962"/>
      <c r="E23" s="962"/>
      <c r="F23" s="962"/>
      <c r="G23" s="962"/>
      <c r="H23" s="929"/>
      <c r="J23" s="344"/>
      <c r="K23" s="267"/>
      <c r="L23" s="267"/>
      <c r="M23" s="84"/>
      <c r="N23" s="84"/>
      <c r="O23" s="67"/>
      <c r="P23" s="67"/>
      <c r="Q23" s="67"/>
      <c r="R23" s="65"/>
      <c r="S23" s="65"/>
      <c r="T23" s="65"/>
      <c r="U23" s="65"/>
      <c r="V23" s="65"/>
      <c r="W23" s="65"/>
      <c r="X23" s="65"/>
      <c r="Y23" s="65"/>
      <c r="Z23" s="65"/>
    </row>
    <row r="24" spans="1:26" ht="7.9" customHeight="1" x14ac:dyDescent="0.15">
      <c r="A24" s="61" t="s">
        <v>357</v>
      </c>
      <c r="B24" s="642">
        <v>243</v>
      </c>
      <c r="C24" s="643">
        <v>177</v>
      </c>
      <c r="D24" s="643">
        <v>58</v>
      </c>
      <c r="E24" s="643">
        <v>106</v>
      </c>
      <c r="F24" s="643">
        <v>102</v>
      </c>
      <c r="G24" s="142">
        <f>SUM(B24:F24)</f>
        <v>686</v>
      </c>
      <c r="H24" s="185">
        <v>13408</v>
      </c>
      <c r="I24" s="247"/>
      <c r="J24" s="257"/>
      <c r="K24" s="267"/>
      <c r="L24" s="267"/>
      <c r="M24" s="84"/>
      <c r="N24" s="84"/>
      <c r="O24" s="67"/>
      <c r="P24" s="67"/>
      <c r="Q24" s="67"/>
    </row>
    <row r="25" spans="1:26" ht="7.9" customHeight="1" x14ac:dyDescent="0.15">
      <c r="A25" s="61" t="s">
        <v>545</v>
      </c>
      <c r="B25" s="909">
        <v>2327</v>
      </c>
      <c r="C25" s="643">
        <v>1131</v>
      </c>
      <c r="D25" s="643">
        <v>745</v>
      </c>
      <c r="E25" s="643">
        <v>638</v>
      </c>
      <c r="F25" s="643">
        <v>870</v>
      </c>
      <c r="G25" s="142">
        <f>SUM(B25:F25)</f>
        <v>5711</v>
      </c>
      <c r="H25" s="185">
        <v>108801</v>
      </c>
      <c r="I25" s="247"/>
      <c r="J25" s="344"/>
      <c r="K25" s="267"/>
      <c r="L25" s="267"/>
      <c r="M25" s="84"/>
      <c r="N25" s="84"/>
      <c r="O25" s="67"/>
      <c r="P25" s="67"/>
      <c r="Q25" s="67"/>
    </row>
    <row r="26" spans="1:26" ht="7.9" customHeight="1" x14ac:dyDescent="0.15">
      <c r="A26" s="61" t="s">
        <v>546</v>
      </c>
      <c r="B26" s="909">
        <v>1328</v>
      </c>
      <c r="C26" s="643">
        <v>0</v>
      </c>
      <c r="D26" s="643">
        <v>0</v>
      </c>
      <c r="E26" s="643">
        <v>0</v>
      </c>
      <c r="F26" s="643">
        <v>0</v>
      </c>
      <c r="G26" s="142">
        <f>SUM(B26:F26)</f>
        <v>1328</v>
      </c>
      <c r="H26" s="185">
        <v>23291</v>
      </c>
      <c r="I26" s="247"/>
      <c r="J26" s="344"/>
      <c r="K26" s="267"/>
      <c r="L26" s="267"/>
      <c r="M26" s="84"/>
      <c r="N26" s="84"/>
      <c r="O26" s="67"/>
      <c r="P26" s="67"/>
      <c r="Q26" s="67"/>
    </row>
    <row r="27" spans="1:26" ht="7.9" customHeight="1" x14ac:dyDescent="0.15">
      <c r="A27" s="61" t="s">
        <v>547</v>
      </c>
      <c r="B27" s="642">
        <v>0</v>
      </c>
      <c r="C27" s="643">
        <v>216</v>
      </c>
      <c r="D27" s="643">
        <v>0</v>
      </c>
      <c r="E27" s="643">
        <v>0</v>
      </c>
      <c r="F27" s="643">
        <v>0</v>
      </c>
      <c r="G27" s="142">
        <f>SUM(B27:F27)</f>
        <v>216</v>
      </c>
      <c r="H27" s="185">
        <v>45592</v>
      </c>
      <c r="I27" s="247"/>
      <c r="J27" s="344"/>
      <c r="K27" s="267"/>
      <c r="L27" s="267"/>
      <c r="M27" s="84"/>
      <c r="N27" s="84"/>
      <c r="O27" s="67"/>
      <c r="P27" s="67"/>
      <c r="Q27" s="67"/>
    </row>
    <row r="28" spans="1:26" ht="7.9" customHeight="1" thickBot="1" x14ac:dyDescent="0.2">
      <c r="A28" s="1008"/>
      <c r="B28" s="1009"/>
      <c r="C28" s="1009"/>
      <c r="D28" s="1009"/>
      <c r="E28" s="1009"/>
      <c r="F28" s="1009"/>
      <c r="G28" s="1010"/>
      <c r="H28" s="1010"/>
      <c r="J28" s="344"/>
      <c r="K28" s="267"/>
      <c r="L28" s="267"/>
      <c r="M28" s="84"/>
      <c r="N28" s="84"/>
      <c r="O28" s="67"/>
      <c r="P28" s="67"/>
      <c r="Q28" s="67"/>
      <c r="R28" s="65"/>
      <c r="S28" s="65"/>
      <c r="T28" s="65"/>
      <c r="U28" s="65"/>
      <c r="V28" s="65"/>
      <c r="W28" s="65"/>
      <c r="X28" s="65"/>
      <c r="Y28" s="65"/>
      <c r="Z28" s="65"/>
    </row>
    <row r="29" spans="1:26" ht="7.9" customHeight="1" thickTop="1" x14ac:dyDescent="0.15">
      <c r="A29" s="21" t="s">
        <v>905</v>
      </c>
      <c r="B29" s="14"/>
      <c r="C29" s="14"/>
      <c r="D29" s="14"/>
      <c r="E29" s="14"/>
      <c r="F29" s="14"/>
      <c r="G29" s="14"/>
      <c r="H29" s="14"/>
      <c r="I29" s="246"/>
      <c r="J29" s="257"/>
      <c r="K29" s="267"/>
      <c r="L29" s="267"/>
      <c r="M29" s="84"/>
      <c r="N29" s="84"/>
      <c r="O29" s="67"/>
      <c r="P29" s="67"/>
      <c r="Q29" s="67"/>
      <c r="R29" s="65"/>
      <c r="S29" s="65"/>
      <c r="T29" s="65"/>
      <c r="U29" s="65"/>
      <c r="V29" s="65"/>
      <c r="W29" s="65"/>
      <c r="X29" s="65"/>
      <c r="Y29" s="65"/>
      <c r="Z29" s="65"/>
    </row>
    <row r="30" spans="1:26" ht="7.9" customHeight="1" x14ac:dyDescent="0.15">
      <c r="A30" s="283" t="s">
        <v>222</v>
      </c>
      <c r="B30" s="14"/>
      <c r="C30" s="14"/>
      <c r="D30" s="14"/>
      <c r="E30" s="14"/>
      <c r="F30" s="14"/>
      <c r="G30" s="14"/>
      <c r="H30" s="14"/>
      <c r="L30" s="267"/>
    </row>
    <row r="31" spans="1:26" ht="7.9" customHeight="1" x14ac:dyDescent="0.15">
      <c r="A31" s="283" t="s">
        <v>584</v>
      </c>
      <c r="B31" s="21"/>
      <c r="C31" s="21"/>
      <c r="D31" s="21"/>
      <c r="E31" s="21"/>
      <c r="F31" s="21"/>
      <c r="G31" s="21"/>
      <c r="H31" s="27"/>
      <c r="L31" s="267"/>
    </row>
    <row r="32" spans="1:26" ht="7.9" customHeight="1" x14ac:dyDescent="0.15">
      <c r="A32" s="628" t="s">
        <v>548</v>
      </c>
      <c r="B32" s="21"/>
      <c r="C32" s="21"/>
      <c r="D32" s="21"/>
      <c r="E32" s="21"/>
      <c r="F32" s="21"/>
      <c r="G32" s="21"/>
      <c r="H32" s="27"/>
      <c r="L32" s="267"/>
    </row>
    <row r="33" spans="1:1" ht="9.9499999999999993" customHeight="1" x14ac:dyDescent="0.15">
      <c r="A33" s="53" t="s">
        <v>768</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37"/>
  <sheetViews>
    <sheetView zoomScale="140" zoomScaleNormal="140" workbookViewId="0">
      <selection sqref="A1:E1"/>
    </sheetView>
  </sheetViews>
  <sheetFormatPr baseColWidth="10" defaultRowHeight="15" x14ac:dyDescent="0.25"/>
  <cols>
    <col min="1" max="1" width="50.7109375" customWidth="1"/>
    <col min="2" max="2" width="10.7109375" customWidth="1"/>
    <col min="3" max="3" width="3.7109375" customWidth="1"/>
    <col min="4" max="4" width="50.7109375" customWidth="1"/>
    <col min="5" max="5" width="10.7109375" customWidth="1"/>
  </cols>
  <sheetData>
    <row r="1" spans="1:5" ht="15" customHeight="1" x14ac:dyDescent="0.25">
      <c r="A1" s="1018" t="s">
        <v>46</v>
      </c>
      <c r="B1" s="1018"/>
      <c r="C1" s="1018"/>
      <c r="D1" s="1018"/>
      <c r="E1" s="1018"/>
    </row>
    <row r="2" spans="1:5" ht="12" customHeight="1" x14ac:dyDescent="0.25">
      <c r="A2" s="202"/>
      <c r="B2" s="203"/>
      <c r="C2" s="203"/>
      <c r="D2" s="203"/>
      <c r="E2" s="203"/>
    </row>
    <row r="3" spans="1:5" ht="12.95" customHeight="1" x14ac:dyDescent="0.25">
      <c r="A3" s="911" t="s">
        <v>212</v>
      </c>
      <c r="B3" s="911">
        <v>5</v>
      </c>
      <c r="C3" s="204"/>
      <c r="D3" s="911" t="s">
        <v>401</v>
      </c>
      <c r="E3" s="911">
        <f>B23+1</f>
        <v>21</v>
      </c>
    </row>
    <row r="4" spans="1:5" ht="12.95" customHeight="1" x14ac:dyDescent="0.25">
      <c r="A4" s="383" t="s">
        <v>59</v>
      </c>
      <c r="B4" s="62">
        <f>B3</f>
        <v>5</v>
      </c>
      <c r="C4" s="204"/>
      <c r="D4" s="383" t="s">
        <v>869</v>
      </c>
      <c r="E4" s="85">
        <f>E3</f>
        <v>21</v>
      </c>
    </row>
    <row r="5" spans="1:5" ht="12.95" customHeight="1" x14ac:dyDescent="0.25">
      <c r="A5" s="383" t="s">
        <v>60</v>
      </c>
      <c r="B5" s="62">
        <f>B4+1</f>
        <v>6</v>
      </c>
      <c r="C5" s="204"/>
      <c r="D5" s="383" t="s">
        <v>347</v>
      </c>
      <c r="E5" s="85">
        <f>E4 + 1</f>
        <v>22</v>
      </c>
    </row>
    <row r="6" spans="1:5" ht="12.95" customHeight="1" x14ac:dyDescent="0.25">
      <c r="A6" s="383" t="s">
        <v>61</v>
      </c>
      <c r="B6" s="62">
        <f>B5+1</f>
        <v>7</v>
      </c>
      <c r="C6" s="204"/>
      <c r="D6" s="383" t="s">
        <v>402</v>
      </c>
      <c r="E6" s="85">
        <f>E5 + 1</f>
        <v>23</v>
      </c>
    </row>
    <row r="7" spans="1:5" ht="12.95" customHeight="1" x14ac:dyDescent="0.25">
      <c r="A7" s="383" t="s">
        <v>62</v>
      </c>
      <c r="B7" s="62">
        <f>B6+1</f>
        <v>8</v>
      </c>
      <c r="C7" s="204"/>
      <c r="D7" s="383"/>
      <c r="E7" s="85"/>
    </row>
    <row r="8" spans="1:5" ht="12.95" customHeight="1" x14ac:dyDescent="0.25">
      <c r="A8" s="383"/>
      <c r="B8" s="62"/>
      <c r="C8" s="204"/>
      <c r="D8" s="911" t="s">
        <v>403</v>
      </c>
      <c r="E8" s="911">
        <f>E6+1</f>
        <v>24</v>
      </c>
    </row>
    <row r="9" spans="1:5" ht="12.95" customHeight="1" x14ac:dyDescent="0.25">
      <c r="A9" s="911" t="s">
        <v>988</v>
      </c>
      <c r="B9" s="911">
        <f>B7+1</f>
        <v>9</v>
      </c>
      <c r="C9" s="204"/>
      <c r="D9" s="383" t="s">
        <v>746</v>
      </c>
      <c r="E9" s="85">
        <f>E8</f>
        <v>24</v>
      </c>
    </row>
    <row r="10" spans="1:5" ht="12.95" customHeight="1" x14ac:dyDescent="0.25">
      <c r="A10" s="383" t="s">
        <v>987</v>
      </c>
      <c r="B10" s="62">
        <v>9</v>
      </c>
      <c r="C10" s="204"/>
      <c r="D10" s="383" t="s">
        <v>68</v>
      </c>
      <c r="E10" s="85">
        <f>E9 + 1</f>
        <v>25</v>
      </c>
    </row>
    <row r="11" spans="1:5" ht="12.95" customHeight="1" x14ac:dyDescent="0.25">
      <c r="A11" s="383"/>
      <c r="B11" s="62"/>
      <c r="C11" s="204"/>
      <c r="D11" s="383" t="s">
        <v>69</v>
      </c>
      <c r="E11" s="85">
        <f>E10 + 1</f>
        <v>26</v>
      </c>
    </row>
    <row r="12" spans="1:5" ht="12.95" customHeight="1" x14ac:dyDescent="0.25">
      <c r="A12" s="911" t="s">
        <v>399</v>
      </c>
      <c r="B12" s="911">
        <f>B10+1</f>
        <v>10</v>
      </c>
      <c r="C12" s="204"/>
      <c r="D12" s="383" t="s">
        <v>72</v>
      </c>
      <c r="E12" s="85">
        <f>E11 + 1</f>
        <v>27</v>
      </c>
    </row>
    <row r="13" spans="1:5" ht="12.95" customHeight="1" x14ac:dyDescent="0.25">
      <c r="A13" s="383" t="s">
        <v>82</v>
      </c>
      <c r="B13" s="62">
        <f>B12</f>
        <v>10</v>
      </c>
      <c r="C13" s="204"/>
      <c r="D13" s="383" t="s">
        <v>70</v>
      </c>
      <c r="E13" s="85">
        <f>E12 + 1</f>
        <v>28</v>
      </c>
    </row>
    <row r="14" spans="1:5" ht="12.95" customHeight="1" x14ac:dyDescent="0.25">
      <c r="A14" s="383" t="s">
        <v>400</v>
      </c>
      <c r="B14" s="62">
        <f t="shared" ref="B14:B23" si="0">B13+1</f>
        <v>11</v>
      </c>
      <c r="C14" s="204"/>
      <c r="D14" s="383"/>
      <c r="E14" s="85"/>
    </row>
    <row r="15" spans="1:5" ht="12.95" customHeight="1" x14ac:dyDescent="0.25">
      <c r="A15" s="383" t="s">
        <v>744</v>
      </c>
      <c r="B15" s="62">
        <f t="shared" si="0"/>
        <v>12</v>
      </c>
      <c r="C15" s="204"/>
      <c r="D15" s="911" t="s">
        <v>74</v>
      </c>
      <c r="E15" s="911">
        <f>E13+1</f>
        <v>29</v>
      </c>
    </row>
    <row r="16" spans="1:5" ht="12.95" customHeight="1" x14ac:dyDescent="0.25">
      <c r="A16" s="383" t="s">
        <v>881</v>
      </c>
      <c r="B16" s="62">
        <f t="shared" si="0"/>
        <v>13</v>
      </c>
      <c r="C16" s="204"/>
      <c r="D16" s="383" t="s">
        <v>76</v>
      </c>
      <c r="E16" s="85">
        <f>E15</f>
        <v>29</v>
      </c>
    </row>
    <row r="17" spans="1:5" ht="12.95" customHeight="1" x14ac:dyDescent="0.25">
      <c r="A17" s="383" t="s">
        <v>64</v>
      </c>
      <c r="B17" s="62">
        <f t="shared" si="0"/>
        <v>14</v>
      </c>
      <c r="C17" s="204"/>
      <c r="D17" s="383" t="s">
        <v>224</v>
      </c>
      <c r="E17" s="85">
        <f>E16 + 1</f>
        <v>30</v>
      </c>
    </row>
    <row r="18" spans="1:5" ht="12.95" customHeight="1" x14ac:dyDescent="0.25">
      <c r="A18" s="383" t="s">
        <v>1038</v>
      </c>
      <c r="B18" s="62">
        <f t="shared" si="0"/>
        <v>15</v>
      </c>
      <c r="C18" s="204"/>
      <c r="D18" s="383" t="s">
        <v>225</v>
      </c>
      <c r="E18" s="85">
        <f>E17 + 1</f>
        <v>31</v>
      </c>
    </row>
    <row r="19" spans="1:5" ht="12.95" customHeight="1" x14ac:dyDescent="0.25">
      <c r="A19" s="383" t="s">
        <v>1039</v>
      </c>
      <c r="B19" s="62">
        <f t="shared" si="0"/>
        <v>16</v>
      </c>
      <c r="C19" s="204"/>
      <c r="D19" s="383" t="s">
        <v>118</v>
      </c>
      <c r="E19" s="85">
        <f>E18 + 1</f>
        <v>32</v>
      </c>
    </row>
    <row r="20" spans="1:5" ht="12.95" customHeight="1" x14ac:dyDescent="0.25">
      <c r="A20" s="383" t="s">
        <v>63</v>
      </c>
      <c r="B20" s="62">
        <f t="shared" si="0"/>
        <v>17</v>
      </c>
      <c r="C20" s="204"/>
      <c r="D20" s="383" t="s">
        <v>682</v>
      </c>
      <c r="E20" s="85">
        <f>E19 + 1</f>
        <v>33</v>
      </c>
    </row>
    <row r="21" spans="1:5" ht="12.95" customHeight="1" x14ac:dyDescent="0.25">
      <c r="A21" s="383" t="s">
        <v>81</v>
      </c>
      <c r="B21" s="62">
        <f t="shared" si="0"/>
        <v>18</v>
      </c>
      <c r="C21" s="204"/>
      <c r="D21" s="383" t="s">
        <v>676</v>
      </c>
      <c r="E21" s="85">
        <f>E20 + 1</f>
        <v>34</v>
      </c>
    </row>
    <row r="22" spans="1:5" x14ac:dyDescent="0.25">
      <c r="A22" s="383" t="s">
        <v>990</v>
      </c>
      <c r="B22" s="62">
        <f t="shared" si="0"/>
        <v>19</v>
      </c>
      <c r="D22" s="64"/>
      <c r="E22" s="64"/>
    </row>
    <row r="23" spans="1:5" x14ac:dyDescent="0.25">
      <c r="A23" s="383" t="s">
        <v>65</v>
      </c>
      <c r="B23" s="62">
        <f t="shared" si="0"/>
        <v>20</v>
      </c>
      <c r="D23" s="64"/>
      <c r="E23" s="64"/>
    </row>
    <row r="24" spans="1:5" x14ac:dyDescent="0.25">
      <c r="A24" s="62"/>
      <c r="B24" s="62"/>
      <c r="D24" s="64"/>
      <c r="E24" s="64"/>
    </row>
    <row r="25" spans="1:5" x14ac:dyDescent="0.25">
      <c r="D25" s="204"/>
      <c r="E25" s="204"/>
    </row>
    <row r="26" spans="1:5" x14ac:dyDescent="0.25">
      <c r="D26" s="62"/>
      <c r="E26" s="62"/>
    </row>
    <row r="27" spans="1:5" x14ac:dyDescent="0.25">
      <c r="D27" s="62"/>
      <c r="E27" s="62"/>
    </row>
    <row r="28" spans="1:5" x14ac:dyDescent="0.25">
      <c r="D28" s="62"/>
      <c r="E28" s="62"/>
    </row>
    <row r="29" spans="1:5" x14ac:dyDescent="0.25">
      <c r="E29" s="62"/>
    </row>
    <row r="30" spans="1:5" x14ac:dyDescent="0.25">
      <c r="E30" s="62"/>
    </row>
    <row r="37" spans="7:7" x14ac:dyDescent="0.25">
      <c r="G37" t="s">
        <v>248</v>
      </c>
    </row>
  </sheetData>
  <mergeCells count="1">
    <mergeCell ref="A1:E1"/>
  </mergeCells>
  <phoneticPr fontId="15" type="noConversion"/>
  <hyperlinks>
    <hyperlink ref="A4" location="'page 5 Démo'!A1" display="Données générales"/>
    <hyperlink ref="A5" location="'page 6 Démo'!A1" display="Indicateurs démographiques"/>
    <hyperlink ref="A6" location="'page 7 Démo'!A1" display="Répartition par âge de la population"/>
    <hyperlink ref="A7" location="'page 8 Démo'!A1" display="Structure par âge de la population"/>
    <hyperlink ref="A10" location="'page 9 Ville'!A1" display="Contrats urbains et ZUS"/>
    <hyperlink ref="A13" location="'page 10 Pauvreté'!A1" display="Revenus et inégalités de revenus"/>
    <hyperlink ref="A14" location="'page 11 Pauvreté '!A1" display="Pauvreté et précarité"/>
    <hyperlink ref="A16" location="'page 13 Pauvreté'!A1" display="Taux de chômage et indemnisation"/>
    <hyperlink ref="A17" location="'page 14 Pauvreté'!A1" display="Demandeurs d’emploi"/>
    <hyperlink ref="A18" location="'page 15 Pauvreté'!A1" display="Demandeurs d’emploi de longue durée par sexe et par âge"/>
    <hyperlink ref="A19" location="'page 16 Pauvreté '!A1" display="Entrées et sorties à Pôle Emploi par motif"/>
    <hyperlink ref="A20" location="'page 17 Pauvreté'!A1" display="Allocataires du Revenu de Solidarité Active (RSA)"/>
    <hyperlink ref="A21" location="'page 18 pauvreté'!A1" display="Autres minima sociaux"/>
    <hyperlink ref="A22" location="'page 19 Pauvreté'!A1" display="Dépenses d’aides sociales – Compétence du Conseil Départemental"/>
    <hyperlink ref="A23" location="'page 20 Pauvreté'!A1" display="Dépenses d’aides sociales – Compétence de l’Etat"/>
    <hyperlink ref="D4" location="'page 21 Handicap'!A1" display="Scolarisation et formation des personnes handicapées"/>
    <hyperlink ref="D5" location="'page 22 Handicap '!A1" display="Accompagnement des personnes handicapées ou dépendantes"/>
    <hyperlink ref="D6" location="'page 23 Handicap '!A1" display="Protection juridique des majeurs vulnérables"/>
    <hyperlink ref="D9" location="'page 24 Logement'!A1" display="Parc des logements, statuts d’occupation, expulsions locatives"/>
    <hyperlink ref="D10" location="'page 25 Logement'!A1" display="Parc locatif social"/>
    <hyperlink ref="D11" location="'page 26 Logement'!A1" display="Demande locative sociale"/>
    <hyperlink ref="D12" location="'page 27 - Logement'!A1" display="Recours au Droit au Logement Opposable (DALO)"/>
    <hyperlink ref="D13" location="'page 28 Logement'!A1" display="Equipements d’hébergement social"/>
    <hyperlink ref="D16" location="'page 29 Jeunesse'!A1" display="La jeunesse en Pays de la Loire"/>
    <hyperlink ref="D17" location="'page 30 Jeunesse'!A1" display="Logement des jeunes"/>
    <hyperlink ref="D18" location="'page 31 Jeunesse'!A1" display="Conduites à risque, mortalité"/>
    <hyperlink ref="D19" location="'page 32 Jeunesse'!A1" display="Scolarité, formation, insertion"/>
    <hyperlink ref="D20" location="'page 33 Jeunesse'!A1" display="Activité des jeunes de 15 à 24 ans"/>
    <hyperlink ref="D21" location="'page 34 Jeunesse'!A1" display="Politiques publiques de cohésion sociale pour la jeunesse"/>
    <hyperlink ref="A15" location="'page 12 Pauvreté'!A1" display="Surendettement et expulsions"/>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M36"/>
  <sheetViews>
    <sheetView zoomScale="140" zoomScaleNormal="140" workbookViewId="0">
      <selection sqref="A1:H1"/>
    </sheetView>
  </sheetViews>
  <sheetFormatPr baseColWidth="10" defaultRowHeight="9.9499999999999993" customHeight="1" x14ac:dyDescent="0.15"/>
  <cols>
    <col min="1" max="1" width="23.7109375" style="1" customWidth="1"/>
    <col min="2" max="6" width="6.7109375" style="1" customWidth="1"/>
    <col min="7" max="7" width="6.85546875" style="1" customWidth="1"/>
    <col min="8" max="8" width="9.42578125" style="5" customWidth="1"/>
    <col min="9" max="10" width="4.7109375" style="241" customWidth="1"/>
    <col min="11" max="11" width="27.28515625" style="241" customWidth="1"/>
    <col min="12" max="12" width="11.42578125" style="241" customWidth="1"/>
    <col min="13" max="16384" width="11.42578125" style="1"/>
  </cols>
  <sheetData>
    <row r="1" spans="1:13" ht="15" customHeight="1" x14ac:dyDescent="0.15">
      <c r="A1" s="1019" t="s">
        <v>425</v>
      </c>
      <c r="B1" s="1019"/>
      <c r="C1" s="1019"/>
      <c r="D1" s="1019"/>
      <c r="E1" s="1019"/>
      <c r="F1" s="1019"/>
      <c r="G1" s="1019"/>
      <c r="H1" s="1019"/>
    </row>
    <row r="2" spans="1:13" s="2" customFormat="1" ht="9.9499999999999993" customHeight="1" x14ac:dyDescent="0.2">
      <c r="A2" s="1021" t="s">
        <v>828</v>
      </c>
      <c r="B2" s="1021"/>
      <c r="C2" s="1021"/>
      <c r="D2" s="1021"/>
      <c r="E2" s="1021"/>
      <c r="F2" s="1021"/>
      <c r="G2" s="1021"/>
      <c r="H2" s="1021"/>
      <c r="I2" s="258"/>
      <c r="J2" s="258"/>
      <c r="K2" s="258"/>
      <c r="L2" s="258"/>
    </row>
    <row r="3" spans="1:13" ht="7.9" customHeight="1" x14ac:dyDescent="0.15">
      <c r="A3" s="3"/>
      <c r="B3" s="4"/>
    </row>
    <row r="4" spans="1:13" s="4" customFormat="1" ht="20.100000000000001" customHeight="1" x14ac:dyDescent="0.15">
      <c r="A4" s="6"/>
      <c r="B4" s="7" t="s">
        <v>374</v>
      </c>
      <c r="C4" s="22" t="s">
        <v>384</v>
      </c>
      <c r="D4" s="7" t="s">
        <v>376</v>
      </c>
      <c r="E4" s="7" t="s">
        <v>377</v>
      </c>
      <c r="F4" s="7" t="s">
        <v>378</v>
      </c>
      <c r="G4" s="23" t="s">
        <v>385</v>
      </c>
      <c r="H4" s="88" t="s">
        <v>380</v>
      </c>
      <c r="I4" s="243"/>
      <c r="J4" s="243"/>
      <c r="K4" s="243"/>
      <c r="L4" s="243"/>
    </row>
    <row r="5" spans="1:13" ht="7.9" customHeight="1" x14ac:dyDescent="0.15">
      <c r="A5" s="9"/>
      <c r="B5" s="7"/>
      <c r="C5" s="7"/>
      <c r="D5" s="7"/>
      <c r="E5" s="7"/>
      <c r="F5" s="7"/>
      <c r="G5" s="8"/>
      <c r="H5" s="8"/>
    </row>
    <row r="6" spans="1:13" s="5" customFormat="1" ht="7.9" customHeight="1" x14ac:dyDescent="0.15">
      <c r="A6" s="963" t="s">
        <v>103</v>
      </c>
      <c r="B6" s="964"/>
      <c r="C6" s="964"/>
      <c r="D6" s="964"/>
      <c r="E6" s="964"/>
      <c r="F6" s="964"/>
      <c r="G6" s="965"/>
      <c r="H6" s="964"/>
      <c r="I6" s="245"/>
      <c r="J6" s="245"/>
      <c r="K6" s="245"/>
      <c r="L6" s="245"/>
    </row>
    <row r="7" spans="1:13" ht="7.9" customHeight="1" x14ac:dyDescent="0.15">
      <c r="A7" s="53" t="s">
        <v>104</v>
      </c>
      <c r="B7" s="408">
        <v>134318</v>
      </c>
      <c r="C7" s="408">
        <v>81805</v>
      </c>
      <c r="D7" s="408">
        <v>31231</v>
      </c>
      <c r="E7" s="408">
        <v>55522</v>
      </c>
      <c r="F7" s="408">
        <v>63120</v>
      </c>
      <c r="G7" s="514">
        <f>SUM(B7:F7)</f>
        <v>365996</v>
      </c>
      <c r="H7" s="393">
        <v>6033231</v>
      </c>
    </row>
    <row r="8" spans="1:13" ht="7.9" customHeight="1" x14ac:dyDescent="0.15">
      <c r="A8" s="53" t="s">
        <v>105</v>
      </c>
      <c r="B8" s="408">
        <v>85388</v>
      </c>
      <c r="C8" s="408">
        <v>50890</v>
      </c>
      <c r="D8" s="408">
        <v>17142</v>
      </c>
      <c r="E8" s="408">
        <v>33256</v>
      </c>
      <c r="F8" s="408">
        <v>32984</v>
      </c>
      <c r="G8" s="514">
        <f>SUM(B8:F8)</f>
        <v>219660</v>
      </c>
      <c r="H8" s="393">
        <v>3846507</v>
      </c>
    </row>
    <row r="9" spans="1:13" ht="7.9" customHeight="1" x14ac:dyDescent="0.15">
      <c r="A9" s="53" t="s">
        <v>363</v>
      </c>
      <c r="B9" s="408">
        <v>219706</v>
      </c>
      <c r="C9" s="408">
        <v>132695</v>
      </c>
      <c r="D9" s="408">
        <v>48373</v>
      </c>
      <c r="E9" s="408">
        <v>88778</v>
      </c>
      <c r="F9" s="408">
        <v>96104</v>
      </c>
      <c r="G9" s="514">
        <f>SUM(B9:F9)</f>
        <v>585656</v>
      </c>
      <c r="H9" s="393">
        <v>9879738</v>
      </c>
    </row>
    <row r="10" spans="1:13" ht="7.9" customHeight="1" x14ac:dyDescent="0.15">
      <c r="A10" s="963" t="s">
        <v>106</v>
      </c>
      <c r="B10" s="964"/>
      <c r="C10" s="964"/>
      <c r="D10" s="964"/>
      <c r="E10" s="964"/>
      <c r="F10" s="964"/>
      <c r="G10" s="965"/>
      <c r="H10" s="964"/>
    </row>
    <row r="11" spans="1:13" ht="7.9" customHeight="1" x14ac:dyDescent="0.15">
      <c r="A11" s="53" t="s">
        <v>104</v>
      </c>
      <c r="B11" s="408">
        <v>127826</v>
      </c>
      <c r="C11" s="408">
        <v>78154</v>
      </c>
      <c r="D11" s="408">
        <v>30074</v>
      </c>
      <c r="E11" s="408">
        <v>53287</v>
      </c>
      <c r="F11" s="408">
        <v>60292</v>
      </c>
      <c r="G11" s="514">
        <f>SUM(B11:F11)</f>
        <v>349633</v>
      </c>
      <c r="H11" s="393">
        <v>5751424</v>
      </c>
      <c r="K11" s="804"/>
      <c r="L11" s="805"/>
    </row>
    <row r="12" spans="1:13" ht="7.9" customHeight="1" x14ac:dyDescent="0.15">
      <c r="A12" s="53" t="s">
        <v>105</v>
      </c>
      <c r="B12" s="408">
        <v>81709</v>
      </c>
      <c r="C12" s="408">
        <v>50093</v>
      </c>
      <c r="D12" s="408">
        <v>15424</v>
      </c>
      <c r="E12" s="408">
        <v>31121</v>
      </c>
      <c r="F12" s="408">
        <v>30413</v>
      </c>
      <c r="G12" s="514">
        <f>SUM(B12:F12)</f>
        <v>208760</v>
      </c>
      <c r="H12" s="393">
        <v>3720016</v>
      </c>
      <c r="K12" s="806"/>
      <c r="L12" s="807"/>
      <c r="M12" s="53"/>
    </row>
    <row r="13" spans="1:13" ht="7.9" customHeight="1" x14ac:dyDescent="0.15">
      <c r="A13" s="53" t="s">
        <v>363</v>
      </c>
      <c r="B13" s="408">
        <v>209535</v>
      </c>
      <c r="C13" s="408">
        <v>128247</v>
      </c>
      <c r="D13" s="408">
        <v>45498</v>
      </c>
      <c r="E13" s="408">
        <v>84408</v>
      </c>
      <c r="F13" s="408">
        <v>90705</v>
      </c>
      <c r="G13" s="514">
        <f>SUM(B13:F13)</f>
        <v>558393</v>
      </c>
      <c r="H13" s="393">
        <v>9471440</v>
      </c>
      <c r="K13" s="806"/>
      <c r="L13" s="807"/>
      <c r="M13" s="53"/>
    </row>
    <row r="14" spans="1:13" ht="7.9" customHeight="1" x14ac:dyDescent="0.15">
      <c r="A14" s="963" t="s">
        <v>107</v>
      </c>
      <c r="B14" s="964"/>
      <c r="C14" s="964"/>
      <c r="D14" s="964"/>
      <c r="E14" s="964"/>
      <c r="F14" s="964"/>
      <c r="G14" s="965"/>
      <c r="H14" s="964"/>
      <c r="M14" s="53"/>
    </row>
    <row r="15" spans="1:13" ht="7.9" customHeight="1" x14ac:dyDescent="0.15">
      <c r="A15" s="53" t="s">
        <v>104</v>
      </c>
      <c r="B15" s="51">
        <f>B7+B11</f>
        <v>262144</v>
      </c>
      <c r="C15" s="51">
        <f>C7+C11</f>
        <v>159959</v>
      </c>
      <c r="D15" s="51">
        <f>D7+D11</f>
        <v>61305</v>
      </c>
      <c r="E15" s="51">
        <f>E7+E11</f>
        <v>108809</v>
      </c>
      <c r="F15" s="51">
        <f>F7+F11</f>
        <v>123412</v>
      </c>
      <c r="G15" s="410">
        <f>SUM(B15:F15)</f>
        <v>715629</v>
      </c>
      <c r="H15" s="10">
        <f>H7+H11</f>
        <v>11784655</v>
      </c>
      <c r="M15" s="53"/>
    </row>
    <row r="16" spans="1:13" ht="7.9" customHeight="1" x14ac:dyDescent="0.15">
      <c r="A16" s="53" t="s">
        <v>105</v>
      </c>
      <c r="B16" s="10">
        <f t="shared" ref="B16:F17" si="0">B8+B12</f>
        <v>167097</v>
      </c>
      <c r="C16" s="10">
        <f t="shared" si="0"/>
        <v>100983</v>
      </c>
      <c r="D16" s="10">
        <f t="shared" si="0"/>
        <v>32566</v>
      </c>
      <c r="E16" s="10">
        <f t="shared" si="0"/>
        <v>64377</v>
      </c>
      <c r="F16" s="10">
        <f t="shared" si="0"/>
        <v>63397</v>
      </c>
      <c r="G16" s="583">
        <f>SUM(B16:F16)</f>
        <v>428420</v>
      </c>
      <c r="H16" s="237">
        <f>H8+H12</f>
        <v>7566523</v>
      </c>
      <c r="M16" s="53"/>
    </row>
    <row r="17" spans="1:13" ht="7.9" customHeight="1" x14ac:dyDescent="0.15">
      <c r="A17" s="53" t="s">
        <v>363</v>
      </c>
      <c r="B17" s="237">
        <f t="shared" si="0"/>
        <v>429241</v>
      </c>
      <c r="C17" s="237">
        <f t="shared" si="0"/>
        <v>260942</v>
      </c>
      <c r="D17" s="237">
        <f t="shared" si="0"/>
        <v>93871</v>
      </c>
      <c r="E17" s="237">
        <f t="shared" si="0"/>
        <v>173186</v>
      </c>
      <c r="F17" s="237">
        <f t="shared" si="0"/>
        <v>186809</v>
      </c>
      <c r="G17" s="410">
        <f>SUM(B17:F17)</f>
        <v>1144049</v>
      </c>
      <c r="H17" s="10">
        <f>H9+H13</f>
        <v>19351178</v>
      </c>
      <c r="M17" s="53"/>
    </row>
    <row r="18" spans="1:13" ht="7.9" customHeight="1" x14ac:dyDescent="0.15">
      <c r="A18" s="53"/>
      <c r="B18" s="159"/>
      <c r="C18" s="159"/>
      <c r="D18" s="159"/>
      <c r="E18" s="159"/>
      <c r="F18" s="159"/>
      <c r="G18" s="196"/>
      <c r="H18" s="159"/>
    </row>
    <row r="19" spans="1:13" ht="7.9" customHeight="1" x14ac:dyDescent="0.15">
      <c r="A19" s="966" t="s">
        <v>190</v>
      </c>
      <c r="B19" s="967">
        <f>B17/'page 7 Démo'!B17</f>
        <v>0.31948556721134796</v>
      </c>
      <c r="C19" s="967">
        <f>C17/'page 7 Démo'!C17</f>
        <v>0.3242280786769548</v>
      </c>
      <c r="D19" s="967">
        <f>D17/'page 7 Démo'!D17</f>
        <v>0.30499382675937359</v>
      </c>
      <c r="E19" s="967">
        <f>E17/'page 7 Démo'!E17</f>
        <v>0.30357305623917602</v>
      </c>
      <c r="F19" s="967">
        <f>F17/'page 7 Démo'!F17</f>
        <v>0.28228220514037122</v>
      </c>
      <c r="G19" s="967">
        <f>G17/'page 7 Démo'!G17</f>
        <v>0.31017478847880153</v>
      </c>
      <c r="H19" s="967">
        <f>H17/'page 7 Démo'!H17</f>
        <v>0.30244685081969358</v>
      </c>
    </row>
    <row r="20" spans="1:13" ht="7.9" customHeight="1" thickBot="1" x14ac:dyDescent="0.2">
      <c r="A20" s="1008"/>
      <c r="B20" s="1009"/>
      <c r="C20" s="1009"/>
      <c r="D20" s="1009"/>
      <c r="E20" s="1009"/>
      <c r="F20" s="1009"/>
      <c r="G20" s="1010"/>
      <c r="H20" s="1010"/>
    </row>
    <row r="21" spans="1:13" ht="7.9" customHeight="1" thickTop="1" x14ac:dyDescent="0.15">
      <c r="A21" s="55" t="s">
        <v>289</v>
      </c>
    </row>
    <row r="22" spans="1:13" ht="7.9" customHeight="1" x14ac:dyDescent="0.15">
      <c r="A22" s="11"/>
    </row>
    <row r="23" spans="1:13" ht="7.9" customHeight="1" x14ac:dyDescent="0.15"/>
    <row r="24" spans="1:13" ht="7.9" customHeight="1" x14ac:dyDescent="0.15"/>
    <row r="25" spans="1:13" ht="7.9" customHeight="1" x14ac:dyDescent="0.15"/>
    <row r="26" spans="1:13" ht="7.9" customHeight="1" x14ac:dyDescent="0.15"/>
    <row r="27" spans="1:13" ht="7.9" customHeight="1" x14ac:dyDescent="0.15"/>
    <row r="28" spans="1:13" ht="7.9" customHeight="1" x14ac:dyDescent="0.15"/>
    <row r="29" spans="1:13" ht="7.9" customHeight="1" x14ac:dyDescent="0.15"/>
    <row r="30" spans="1:13" ht="7.9" customHeight="1" x14ac:dyDescent="0.15"/>
    <row r="31" spans="1:13" ht="7.9" customHeight="1" x14ac:dyDescent="0.15"/>
    <row r="32" spans="1:13" ht="7.9" customHeight="1" x14ac:dyDescent="0.15"/>
    <row r="33" ht="7.9" customHeight="1" x14ac:dyDescent="0.15"/>
    <row r="34" ht="7.9" customHeight="1" x14ac:dyDescent="0.15"/>
    <row r="35" ht="7.9" customHeight="1" x14ac:dyDescent="0.15"/>
    <row r="36"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L34"/>
  <sheetViews>
    <sheetView zoomScale="140" zoomScaleNormal="140" workbookViewId="0">
      <selection sqref="A1:H1"/>
    </sheetView>
  </sheetViews>
  <sheetFormatPr baseColWidth="10" defaultRowHeight="9.9499999999999993" customHeight="1" x14ac:dyDescent="0.15"/>
  <cols>
    <col min="1" max="1" width="24" style="53" customWidth="1"/>
    <col min="2" max="2" width="6.7109375" style="53" customWidth="1"/>
    <col min="3" max="3" width="7.7109375" style="53" bestFit="1" customWidth="1"/>
    <col min="4" max="6" width="6.7109375" style="53" customWidth="1"/>
    <col min="7" max="7" width="6.85546875" style="53" customWidth="1"/>
    <col min="8" max="8" width="10.140625" style="54" customWidth="1"/>
    <col min="9" max="10" width="4.7109375" style="241" customWidth="1"/>
    <col min="11" max="11" width="27.28515625" style="241" customWidth="1"/>
    <col min="12" max="12" width="11.42578125" style="241" customWidth="1"/>
    <col min="13" max="16384" width="11.42578125" style="53"/>
  </cols>
  <sheetData>
    <row r="1" spans="1:12" ht="15" customHeight="1" x14ac:dyDescent="0.15">
      <c r="A1" s="1019" t="s">
        <v>108</v>
      </c>
      <c r="B1" s="1019"/>
      <c r="C1" s="1019"/>
      <c r="D1" s="1019"/>
      <c r="E1" s="1019"/>
      <c r="F1" s="1019"/>
      <c r="G1" s="1019"/>
      <c r="H1" s="1019"/>
      <c r="I1" s="173"/>
      <c r="J1" s="173"/>
      <c r="K1" s="173"/>
    </row>
    <row r="2" spans="1:12" ht="9.9499999999999993" customHeight="1" x14ac:dyDescent="0.15">
      <c r="A2" s="1021" t="s">
        <v>829</v>
      </c>
      <c r="B2" s="1021"/>
      <c r="C2" s="1021"/>
      <c r="D2" s="1021"/>
      <c r="E2" s="1021"/>
      <c r="F2" s="1021"/>
      <c r="G2" s="1021"/>
      <c r="H2" s="1021"/>
      <c r="I2" s="173"/>
      <c r="J2" s="173"/>
      <c r="K2" s="173"/>
    </row>
    <row r="3" spans="1:12" s="65" customFormat="1" ht="7.9" customHeight="1" x14ac:dyDescent="0.15">
      <c r="A3" s="328"/>
      <c r="B3" s="328"/>
      <c r="C3" s="328"/>
      <c r="D3" s="328"/>
      <c r="E3" s="328"/>
      <c r="F3" s="328"/>
      <c r="G3" s="328"/>
      <c r="H3" s="328"/>
      <c r="I3" s="173"/>
      <c r="J3" s="173"/>
      <c r="K3" s="173"/>
      <c r="L3" s="173"/>
    </row>
    <row r="4" spans="1:12" ht="20.100000000000001" customHeight="1" x14ac:dyDescent="0.15">
      <c r="A4" s="58"/>
      <c r="B4" s="22" t="s">
        <v>374</v>
      </c>
      <c r="C4" s="22" t="s">
        <v>384</v>
      </c>
      <c r="D4" s="22" t="s">
        <v>376</v>
      </c>
      <c r="E4" s="22" t="s">
        <v>377</v>
      </c>
      <c r="F4" s="22" t="s">
        <v>378</v>
      </c>
      <c r="G4" s="23" t="s">
        <v>385</v>
      </c>
      <c r="H4" s="88" t="s">
        <v>388</v>
      </c>
      <c r="I4" s="173"/>
      <c r="J4" s="173"/>
      <c r="K4" s="173"/>
    </row>
    <row r="5" spans="1:12" ht="7.9" customHeight="1" x14ac:dyDescent="0.15">
      <c r="A5" s="287"/>
      <c r="B5" s="174"/>
      <c r="C5" s="65"/>
      <c r="D5" s="65"/>
      <c r="E5" s="65"/>
      <c r="F5" s="65"/>
      <c r="G5" s="65"/>
      <c r="H5" s="66"/>
      <c r="I5" s="173"/>
      <c r="J5" s="173"/>
      <c r="K5" s="173"/>
    </row>
    <row r="6" spans="1:12" ht="7.9" customHeight="1" x14ac:dyDescent="0.15">
      <c r="A6" s="929" t="s">
        <v>109</v>
      </c>
      <c r="B6" s="930"/>
      <c r="C6" s="930"/>
      <c r="D6" s="930"/>
      <c r="E6" s="930"/>
      <c r="F6" s="930"/>
      <c r="G6" s="930"/>
      <c r="H6" s="930"/>
      <c r="I6" s="173"/>
      <c r="J6" s="173"/>
      <c r="K6" s="173"/>
    </row>
    <row r="7" spans="1:12" ht="7.9" customHeight="1" x14ac:dyDescent="0.15">
      <c r="A7" s="65" t="s">
        <v>110</v>
      </c>
      <c r="B7" s="104">
        <f>B24*B8/100</f>
        <v>17851.164236322427</v>
      </c>
      <c r="C7" s="104">
        <f t="shared" ref="C7:H7" si="0">C24*C8/100</f>
        <v>10688.1721524041</v>
      </c>
      <c r="D7" s="104">
        <f t="shared" si="0"/>
        <v>3380.4309662626952</v>
      </c>
      <c r="E7" s="104">
        <f t="shared" si="0"/>
        <v>7411.4720805933785</v>
      </c>
      <c r="F7" s="104">
        <f t="shared" si="0"/>
        <v>7567.4547691346452</v>
      </c>
      <c r="G7" s="104">
        <f t="shared" si="0"/>
        <v>46895.233123657097</v>
      </c>
      <c r="H7" s="104">
        <f t="shared" si="0"/>
        <v>1014905.2095034441</v>
      </c>
      <c r="I7" s="173"/>
      <c r="J7" s="173"/>
      <c r="K7" s="173"/>
    </row>
    <row r="8" spans="1:12" ht="7.9" customHeight="1" x14ac:dyDescent="0.15">
      <c r="A8" s="86" t="s">
        <v>512</v>
      </c>
      <c r="B8" s="411">
        <v>42.668365887426027</v>
      </c>
      <c r="C8" s="411">
        <v>42.367987285067983</v>
      </c>
      <c r="D8" s="411">
        <v>43.567869136005868</v>
      </c>
      <c r="E8" s="411">
        <v>48.067138469377895</v>
      </c>
      <c r="F8" s="411">
        <v>50.887329494550769</v>
      </c>
      <c r="G8" s="412">
        <v>44.614113500382537</v>
      </c>
      <c r="H8" s="413">
        <v>53.074969115393181</v>
      </c>
      <c r="I8" s="173"/>
      <c r="J8" s="173"/>
      <c r="K8" s="173"/>
    </row>
    <row r="9" spans="1:12" ht="7.9" customHeight="1" x14ac:dyDescent="0.15">
      <c r="A9" s="65" t="s">
        <v>111</v>
      </c>
      <c r="B9" s="51">
        <f t="shared" ref="B9:H9" si="1">B25*B10/100</f>
        <v>11865.249325930758</v>
      </c>
      <c r="C9" s="51">
        <f t="shared" si="1"/>
        <v>6382.4553918939773</v>
      </c>
      <c r="D9" s="51">
        <f t="shared" si="1"/>
        <v>1868.59105690762</v>
      </c>
      <c r="E9" s="51">
        <f t="shared" si="1"/>
        <v>4587.8503136559748</v>
      </c>
      <c r="F9" s="51">
        <f t="shared" si="1"/>
        <v>4200.8024201736498</v>
      </c>
      <c r="G9" s="51">
        <f t="shared" si="1"/>
        <v>28905.864948434839</v>
      </c>
      <c r="H9" s="51">
        <f t="shared" si="1"/>
        <v>714689.35825892002</v>
      </c>
      <c r="I9" s="173"/>
      <c r="J9" s="173"/>
      <c r="K9" s="173"/>
    </row>
    <row r="10" spans="1:12" ht="7.9" customHeight="1" x14ac:dyDescent="0.15">
      <c r="A10" s="99" t="s">
        <v>512</v>
      </c>
      <c r="B10" s="411">
        <v>29.522889589277824</v>
      </c>
      <c r="C10" s="411">
        <v>25.879715318684521</v>
      </c>
      <c r="D10" s="411">
        <v>27.002760937971388</v>
      </c>
      <c r="E10" s="411">
        <v>31.412874451598594</v>
      </c>
      <c r="F10" s="411">
        <v>31.184042908274439</v>
      </c>
      <c r="G10" s="412">
        <v>28.949868748933216</v>
      </c>
      <c r="H10" s="413">
        <v>37.972545246588204</v>
      </c>
      <c r="I10" s="173"/>
      <c r="J10" s="173"/>
      <c r="K10" s="173"/>
    </row>
    <row r="11" spans="1:12" ht="7.9" customHeight="1" x14ac:dyDescent="0.15">
      <c r="A11" s="66" t="s">
        <v>191</v>
      </c>
      <c r="B11" s="90">
        <f t="shared" ref="B11:H11" si="2">B7+B9</f>
        <v>29716.413562253183</v>
      </c>
      <c r="C11" s="90">
        <f t="shared" si="2"/>
        <v>17070.627544298077</v>
      </c>
      <c r="D11" s="90">
        <f t="shared" si="2"/>
        <v>5249.0220231703152</v>
      </c>
      <c r="E11" s="90">
        <f t="shared" si="2"/>
        <v>11999.322394249353</v>
      </c>
      <c r="F11" s="26">
        <f t="shared" si="2"/>
        <v>11768.257189308295</v>
      </c>
      <c r="G11" s="26">
        <f t="shared" si="2"/>
        <v>75801.098072091932</v>
      </c>
      <c r="H11" s="26">
        <f t="shared" si="2"/>
        <v>1729594.5677623642</v>
      </c>
      <c r="I11" s="173"/>
      <c r="J11" s="173"/>
      <c r="K11" s="173"/>
    </row>
    <row r="12" spans="1:12" ht="7.9" customHeight="1" x14ac:dyDescent="0.15">
      <c r="A12" s="86" t="s">
        <v>512</v>
      </c>
      <c r="B12" s="411">
        <v>36.214614510837187</v>
      </c>
      <c r="C12" s="411">
        <v>34.106396182353222</v>
      </c>
      <c r="D12" s="411">
        <v>35.789706731372995</v>
      </c>
      <c r="E12" s="411">
        <v>39.897654854049613</v>
      </c>
      <c r="F12" s="411">
        <v>41.480092733411396</v>
      </c>
      <c r="G12" s="412">
        <v>36.940140036525449</v>
      </c>
      <c r="H12" s="413">
        <v>45.483169334236528</v>
      </c>
      <c r="I12" s="173"/>
      <c r="J12" s="173"/>
      <c r="K12" s="173"/>
    </row>
    <row r="13" spans="1:12" ht="7.9" customHeight="1" x14ac:dyDescent="0.15">
      <c r="A13" s="93"/>
      <c r="B13" s="94"/>
      <c r="C13" s="94"/>
      <c r="D13" s="94"/>
      <c r="E13" s="94"/>
      <c r="F13" s="94"/>
      <c r="G13" s="95"/>
      <c r="H13" s="288"/>
      <c r="I13" s="173"/>
      <c r="J13" s="173"/>
      <c r="K13" s="173"/>
    </row>
    <row r="14" spans="1:12" ht="7.9" customHeight="1" x14ac:dyDescent="0.15">
      <c r="A14" s="929" t="s">
        <v>112</v>
      </c>
      <c r="B14" s="930"/>
      <c r="C14" s="930"/>
      <c r="D14" s="930"/>
      <c r="E14" s="930"/>
      <c r="F14" s="930"/>
      <c r="G14" s="930"/>
      <c r="H14" s="930"/>
      <c r="I14" s="173"/>
      <c r="J14" s="173"/>
      <c r="K14" s="173"/>
    </row>
    <row r="15" spans="1:12" ht="7.9" customHeight="1" x14ac:dyDescent="0.15">
      <c r="A15" s="68" t="s">
        <v>230</v>
      </c>
      <c r="B15" s="1034">
        <v>40088</v>
      </c>
      <c r="C15" s="1034">
        <v>25598</v>
      </c>
      <c r="D15" s="1034">
        <v>7163</v>
      </c>
      <c r="E15" s="1034">
        <v>11664</v>
      </c>
      <c r="F15" s="1034">
        <v>10741</v>
      </c>
      <c r="G15" s="1034">
        <v>95255</v>
      </c>
      <c r="H15" s="1035">
        <v>1388429</v>
      </c>
      <c r="I15" s="173"/>
      <c r="J15" s="173"/>
      <c r="K15" s="173"/>
    </row>
    <row r="16" spans="1:12" ht="7.9" customHeight="1" x14ac:dyDescent="0.15">
      <c r="A16" s="68" t="s">
        <v>231</v>
      </c>
      <c r="B16" s="1034"/>
      <c r="C16" s="1034"/>
      <c r="D16" s="1034"/>
      <c r="E16" s="1034"/>
      <c r="F16" s="1034"/>
      <c r="G16" s="1034"/>
      <c r="H16" s="1035"/>
      <c r="I16" s="173"/>
      <c r="J16" s="173"/>
      <c r="K16" s="173"/>
    </row>
    <row r="17" spans="1:12" ht="7.9" customHeight="1" x14ac:dyDescent="0.15">
      <c r="A17" s="134" t="s">
        <v>232</v>
      </c>
      <c r="B17" s="629">
        <v>69.132756034266848</v>
      </c>
      <c r="C17" s="629">
        <v>67.496698884814492</v>
      </c>
      <c r="D17" s="629">
        <v>65.293629064701804</v>
      </c>
      <c r="E17" s="629">
        <v>59.891090071938848</v>
      </c>
      <c r="F17" s="629">
        <v>58.500763118774216</v>
      </c>
      <c r="G17" s="630">
        <v>66.073828676931939</v>
      </c>
      <c r="H17" s="631">
        <v>65.241183013850474</v>
      </c>
      <c r="J17" s="173"/>
      <c r="K17" s="173"/>
    </row>
    <row r="18" spans="1:12" ht="7.9" customHeight="1" x14ac:dyDescent="0.15">
      <c r="A18" s="134" t="s">
        <v>233</v>
      </c>
      <c r="B18" s="629">
        <v>24.361185792328605</v>
      </c>
      <c r="C18" s="629">
        <v>25.807459363794589</v>
      </c>
      <c r="D18" s="629">
        <v>26.778947842779882</v>
      </c>
      <c r="E18" s="629">
        <v>30.100151900766164</v>
      </c>
      <c r="F18" s="629">
        <v>32.705878392798567</v>
      </c>
      <c r="G18" s="630">
        <v>26.575388625528408</v>
      </c>
      <c r="H18" s="631">
        <v>26.152210392933412</v>
      </c>
      <c r="I18" s="173"/>
      <c r="J18" s="173"/>
      <c r="K18" s="173"/>
    </row>
    <row r="19" spans="1:12" ht="7.9" customHeight="1" thickBot="1" x14ac:dyDescent="0.2">
      <c r="A19" s="1008"/>
      <c r="B19" s="1009"/>
      <c r="C19" s="1009"/>
      <c r="D19" s="1009"/>
      <c r="E19" s="1009"/>
      <c r="F19" s="1009"/>
      <c r="G19" s="1010"/>
      <c r="H19" s="1010"/>
      <c r="I19" s="173"/>
      <c r="J19" s="173"/>
    </row>
    <row r="20" spans="1:12" ht="7.9" customHeight="1" thickTop="1" x14ac:dyDescent="0.15">
      <c r="A20" s="61" t="s">
        <v>836</v>
      </c>
      <c r="B20" s="21"/>
      <c r="C20" s="21"/>
      <c r="D20" s="21"/>
      <c r="E20" s="21"/>
      <c r="F20" s="21"/>
      <c r="G20" s="21"/>
      <c r="H20" s="27"/>
      <c r="I20" s="173"/>
      <c r="J20" s="173"/>
      <c r="K20" s="173"/>
    </row>
    <row r="21" spans="1:12" ht="7.9" customHeight="1" x14ac:dyDescent="0.15"/>
    <row r="22" spans="1:12" ht="7.9" customHeight="1" x14ac:dyDescent="0.15"/>
    <row r="23" spans="1:12" ht="7.9" customHeight="1" x14ac:dyDescent="0.15">
      <c r="A23" s="245"/>
    </row>
    <row r="24" spans="1:12" ht="7.9" customHeight="1" x14ac:dyDescent="0.15">
      <c r="A24" s="670" t="s">
        <v>25</v>
      </c>
      <c r="B24" s="671">
        <v>41837</v>
      </c>
      <c r="C24" s="672">
        <v>25227</v>
      </c>
      <c r="D24" s="672">
        <v>7759</v>
      </c>
      <c r="E24" s="672">
        <v>15419</v>
      </c>
      <c r="F24" s="672">
        <v>14871</v>
      </c>
      <c r="G24" s="673">
        <f>SUM(B24:F24)</f>
        <v>105113</v>
      </c>
      <c r="H24" s="674">
        <v>1912210.6454680802</v>
      </c>
      <c r="I24" s="617"/>
      <c r="J24" s="53"/>
      <c r="K24" s="53"/>
      <c r="L24" s="53"/>
    </row>
    <row r="25" spans="1:12" ht="7.9" customHeight="1" x14ac:dyDescent="0.15">
      <c r="A25" s="670" t="s">
        <v>26</v>
      </c>
      <c r="B25" s="672">
        <v>40190</v>
      </c>
      <c r="C25" s="672">
        <v>24662</v>
      </c>
      <c r="D25" s="672">
        <v>6920</v>
      </c>
      <c r="E25" s="672">
        <v>14605</v>
      </c>
      <c r="F25" s="672">
        <v>13471</v>
      </c>
      <c r="G25" s="673">
        <f>SUM(B25:F25)</f>
        <v>99848</v>
      </c>
      <c r="H25" s="674">
        <v>1882121.2895207074</v>
      </c>
      <c r="I25" s="617"/>
      <c r="J25" s="53"/>
      <c r="K25" s="53"/>
      <c r="L25" s="53"/>
    </row>
    <row r="26" spans="1:12" ht="7.9" customHeight="1" x14ac:dyDescent="0.15"/>
    <row r="27" spans="1:12" ht="7.9" customHeight="1" x14ac:dyDescent="0.15">
      <c r="A27" s="245"/>
    </row>
    <row r="28" spans="1:12" ht="7.9" customHeight="1" x14ac:dyDescent="0.15">
      <c r="A28" s="241"/>
      <c r="H28" s="53"/>
    </row>
    <row r="29" spans="1:12" ht="7.9" customHeight="1" x14ac:dyDescent="0.15">
      <c r="H29" s="52"/>
      <c r="J29" s="244"/>
    </row>
    <row r="30" spans="1:12" ht="7.9" customHeight="1" x14ac:dyDescent="0.15">
      <c r="H30" s="52"/>
      <c r="I30" s="244"/>
      <c r="J30" s="244"/>
    </row>
    <row r="31" spans="1:12" ht="7.9" customHeight="1" x14ac:dyDescent="0.15"/>
    <row r="32" spans="1:12" ht="9.9499999999999993" customHeight="1" x14ac:dyDescent="0.15">
      <c r="A32" s="53" t="s">
        <v>248</v>
      </c>
    </row>
    <row r="33" spans="8:8" ht="9.9499999999999993" customHeight="1" x14ac:dyDescent="0.15">
      <c r="H33" s="52"/>
    </row>
    <row r="34" spans="8:8" ht="9.9499999999999993" customHeight="1" x14ac:dyDescent="0.15">
      <c r="H34" s="52"/>
    </row>
  </sheetData>
  <mergeCells count="9">
    <mergeCell ref="A2:H2"/>
    <mergeCell ref="A1:H1"/>
    <mergeCell ref="B15:B16"/>
    <mergeCell ref="C15:C16"/>
    <mergeCell ref="D15:D16"/>
    <mergeCell ref="E15:E16"/>
    <mergeCell ref="F15:F16"/>
    <mergeCell ref="G15:G16"/>
    <mergeCell ref="H15:H16"/>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H32"/>
  <sheetViews>
    <sheetView zoomScale="140" zoomScaleNormal="140" workbookViewId="0">
      <selection sqref="A1:C1"/>
    </sheetView>
  </sheetViews>
  <sheetFormatPr baseColWidth="10" defaultRowHeight="9.9499999999999993" customHeight="1" x14ac:dyDescent="0.15"/>
  <cols>
    <col min="1" max="1" width="29.7109375" style="53" customWidth="1"/>
    <col min="2" max="2" width="8.85546875" style="53" customWidth="1"/>
    <col min="3" max="3" width="10.85546875" style="53" customWidth="1"/>
    <col min="4" max="5" width="4.7109375" style="241" customWidth="1"/>
    <col min="6" max="6" width="27.28515625" style="241" customWidth="1"/>
    <col min="7" max="7" width="11.42578125" style="241" customWidth="1"/>
    <col min="8" max="16384" width="11.42578125" style="53"/>
  </cols>
  <sheetData>
    <row r="1" spans="1:7" ht="15" customHeight="1" x14ac:dyDescent="0.15">
      <c r="A1" s="1019" t="s">
        <v>113</v>
      </c>
      <c r="B1" s="1019"/>
      <c r="C1" s="1019"/>
    </row>
    <row r="2" spans="1:7" s="46" customFormat="1" ht="9.9499999999999993" customHeight="1" x14ac:dyDescent="0.2">
      <c r="A2" s="1021" t="s">
        <v>703</v>
      </c>
      <c r="B2" s="1021"/>
      <c r="C2" s="1021"/>
      <c r="D2" s="809"/>
      <c r="E2" s="333"/>
      <c r="F2" s="258"/>
      <c r="G2" s="258"/>
    </row>
    <row r="3" spans="1:7" ht="7.9" customHeight="1" x14ac:dyDescent="0.15">
      <c r="A3" s="56"/>
      <c r="B3" s="57"/>
    </row>
    <row r="4" spans="1:7" s="57" customFormat="1" ht="20.100000000000001" customHeight="1" x14ac:dyDescent="0.15">
      <c r="A4" s="58"/>
      <c r="B4" s="23" t="s">
        <v>385</v>
      </c>
      <c r="C4" s="88" t="s">
        <v>380</v>
      </c>
      <c r="D4" s="243"/>
      <c r="E4" s="243"/>
      <c r="F4" s="339"/>
      <c r="G4" s="243"/>
    </row>
    <row r="5" spans="1:7" ht="7.9" customHeight="1" x14ac:dyDescent="0.15">
      <c r="A5" s="60"/>
      <c r="B5" s="23"/>
      <c r="C5" s="23"/>
    </row>
    <row r="6" spans="1:7" s="54" customFormat="1" ht="7.9" customHeight="1" x14ac:dyDescent="0.15">
      <c r="A6" s="922" t="s">
        <v>116</v>
      </c>
      <c r="B6" s="965"/>
      <c r="C6" s="965"/>
      <c r="D6" s="245"/>
      <c r="E6" s="245"/>
      <c r="F6" s="245"/>
      <c r="G6" s="245"/>
    </row>
    <row r="7" spans="1:7" ht="7.9" customHeight="1" x14ac:dyDescent="0.15">
      <c r="A7" s="53" t="s">
        <v>683</v>
      </c>
      <c r="B7" s="416">
        <v>38</v>
      </c>
      <c r="C7" s="414">
        <v>33</v>
      </c>
    </row>
    <row r="8" spans="1:7" ht="7.9" customHeight="1" x14ac:dyDescent="0.15">
      <c r="A8" s="53" t="s">
        <v>684</v>
      </c>
      <c r="B8" s="416">
        <v>33</v>
      </c>
      <c r="C8" s="415">
        <v>18</v>
      </c>
    </row>
    <row r="9" spans="1:7" ht="7.9" customHeight="1" x14ac:dyDescent="0.15">
      <c r="A9" s="53" t="s">
        <v>685</v>
      </c>
      <c r="B9" s="416">
        <v>15</v>
      </c>
      <c r="C9" s="414">
        <v>13</v>
      </c>
    </row>
    <row r="10" spans="1:7" ht="7.9" customHeight="1" x14ac:dyDescent="0.15">
      <c r="A10" s="922" t="s">
        <v>117</v>
      </c>
      <c r="B10" s="965"/>
      <c r="C10" s="965"/>
    </row>
    <row r="11" spans="1:7" ht="7.9" customHeight="1" x14ac:dyDescent="0.15">
      <c r="A11" s="53" t="s">
        <v>683</v>
      </c>
      <c r="B11" s="416">
        <v>33</v>
      </c>
      <c r="C11" s="414">
        <v>32</v>
      </c>
    </row>
    <row r="12" spans="1:7" ht="7.9" customHeight="1" x14ac:dyDescent="0.15">
      <c r="A12" s="53" t="s">
        <v>684</v>
      </c>
      <c r="B12" s="416">
        <v>10</v>
      </c>
      <c r="C12" s="414">
        <v>7</v>
      </c>
    </row>
    <row r="13" spans="1:7" ht="7.9" customHeight="1" x14ac:dyDescent="0.15">
      <c r="A13" s="53" t="s">
        <v>685</v>
      </c>
      <c r="B13" s="416">
        <v>6</v>
      </c>
      <c r="C13" s="414">
        <v>6</v>
      </c>
    </row>
    <row r="14" spans="1:7" ht="7.9" customHeight="1" x14ac:dyDescent="0.15">
      <c r="B14" s="417"/>
      <c r="C14" s="159"/>
    </row>
    <row r="15" spans="1:7" ht="7.9" customHeight="1" x14ac:dyDescent="0.15">
      <c r="A15" s="968" t="s">
        <v>837</v>
      </c>
      <c r="B15" s="969">
        <v>5.3</v>
      </c>
      <c r="C15" s="970">
        <v>7.6</v>
      </c>
    </row>
    <row r="16" spans="1:7" s="65" customFormat="1" ht="7.9" customHeight="1" x14ac:dyDescent="0.15">
      <c r="A16" s="289"/>
      <c r="B16" s="167"/>
      <c r="C16" s="167"/>
      <c r="D16" s="173"/>
      <c r="E16" s="173"/>
      <c r="F16" s="173"/>
      <c r="G16" s="173"/>
    </row>
    <row r="17" spans="1:8" ht="7.9" customHeight="1" x14ac:dyDescent="0.15">
      <c r="A17" s="968" t="s">
        <v>839</v>
      </c>
      <c r="B17" s="971">
        <v>528</v>
      </c>
      <c r="C17" s="972">
        <v>8187</v>
      </c>
      <c r="E17" s="173"/>
      <c r="F17" s="173"/>
    </row>
    <row r="18" spans="1:8" ht="7.9" customHeight="1" x14ac:dyDescent="0.15">
      <c r="A18" s="86" t="s">
        <v>585</v>
      </c>
      <c r="B18" s="418">
        <v>165</v>
      </c>
      <c r="C18" s="393">
        <v>2283</v>
      </c>
    </row>
    <row r="19" spans="1:8" ht="7.9" customHeight="1" x14ac:dyDescent="0.15">
      <c r="A19" s="86" t="s">
        <v>586</v>
      </c>
      <c r="B19" s="418">
        <v>118</v>
      </c>
      <c r="C19" s="393">
        <v>1382</v>
      </c>
    </row>
    <row r="20" spans="1:8" ht="7.9" customHeight="1" thickBot="1" x14ac:dyDescent="0.2">
      <c r="A20" s="1008"/>
      <c r="B20" s="1009"/>
      <c r="C20" s="1009"/>
      <c r="D20" s="1011"/>
      <c r="E20" s="1011"/>
      <c r="F20" s="1011"/>
      <c r="G20" s="1017"/>
      <c r="H20" s="1017"/>
    </row>
    <row r="21" spans="1:8" ht="7.9" customHeight="1" thickTop="1" x14ac:dyDescent="0.15">
      <c r="A21" s="55" t="s">
        <v>838</v>
      </c>
    </row>
    <row r="22" spans="1:8" ht="7.9" customHeight="1" x14ac:dyDescent="0.15">
      <c r="A22" s="77" t="s">
        <v>192</v>
      </c>
    </row>
    <row r="23" spans="1:8" ht="7.9" customHeight="1" x14ac:dyDescent="0.15">
      <c r="A23" s="86" t="s">
        <v>193</v>
      </c>
    </row>
    <row r="24" spans="1:8" ht="7.9" customHeight="1" x14ac:dyDescent="0.15">
      <c r="A24" s="86" t="s">
        <v>513</v>
      </c>
      <c r="C24" s="65"/>
      <c r="D24" s="173"/>
      <c r="E24" s="173"/>
    </row>
    <row r="25" spans="1:8" ht="7.9" customHeight="1" x14ac:dyDescent="0.15"/>
    <row r="26" spans="1:8" ht="7.9" customHeight="1" x14ac:dyDescent="0.15"/>
    <row r="27" spans="1:8" ht="7.9" customHeight="1" x14ac:dyDescent="0.15"/>
    <row r="28" spans="1:8" ht="7.9" customHeight="1" x14ac:dyDescent="0.15"/>
    <row r="29" spans="1:8" ht="7.9" customHeight="1" x14ac:dyDescent="0.15"/>
    <row r="30" spans="1:8" ht="7.9" customHeight="1" x14ac:dyDescent="0.15"/>
    <row r="31" spans="1:8" ht="7.9" customHeight="1" x14ac:dyDescent="0.15"/>
    <row r="32" spans="1:8" ht="7.9" customHeight="1" x14ac:dyDescent="0.15"/>
  </sheetData>
  <mergeCells count="2">
    <mergeCell ref="A1:C1"/>
    <mergeCell ref="A2:C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O37"/>
  <sheetViews>
    <sheetView zoomScale="140" zoomScaleNormal="140" workbookViewId="0">
      <selection sqref="A1:H1"/>
    </sheetView>
  </sheetViews>
  <sheetFormatPr baseColWidth="10" defaultRowHeight="9.9499999999999993" customHeight="1" x14ac:dyDescent="0.15"/>
  <cols>
    <col min="1" max="1" width="29.85546875" style="53" customWidth="1"/>
    <col min="2" max="6" width="6.7109375" style="53" customWidth="1"/>
    <col min="7" max="7" width="6.85546875" style="53" customWidth="1"/>
    <col min="8" max="8" width="9.7109375" style="54" bestFit="1" customWidth="1"/>
    <col min="9" max="9" width="4.7109375" style="241" customWidth="1"/>
    <col min="10" max="10" width="5.5703125" style="241" bestFit="1" customWidth="1"/>
    <col min="11" max="11" width="27.28515625" style="241" customWidth="1"/>
    <col min="12" max="12" width="11.42578125" style="241" customWidth="1"/>
    <col min="13" max="16384" width="11.42578125" style="53"/>
  </cols>
  <sheetData>
    <row r="1" spans="1:13" ht="15" customHeight="1" x14ac:dyDescent="0.15">
      <c r="A1" s="1019" t="s">
        <v>4</v>
      </c>
      <c r="B1" s="1019"/>
      <c r="C1" s="1019"/>
      <c r="D1" s="1019"/>
      <c r="E1" s="1019"/>
      <c r="F1" s="1019"/>
      <c r="G1" s="1019"/>
      <c r="H1" s="1019"/>
      <c r="I1" s="173"/>
      <c r="J1" s="173"/>
      <c r="K1" s="173"/>
      <c r="L1" s="173"/>
      <c r="M1" s="65"/>
    </row>
    <row r="2" spans="1:13" ht="9.9499999999999993" customHeight="1" x14ac:dyDescent="0.15">
      <c r="A2" s="1021" t="s">
        <v>842</v>
      </c>
      <c r="B2" s="1021"/>
      <c r="C2" s="1021"/>
      <c r="D2" s="1021"/>
      <c r="E2" s="1021"/>
      <c r="F2" s="1021"/>
      <c r="G2" s="1021"/>
      <c r="H2" s="1021"/>
      <c r="I2" s="173"/>
      <c r="J2" s="173"/>
      <c r="K2" s="173"/>
      <c r="L2" s="173"/>
      <c r="M2" s="65"/>
    </row>
    <row r="3" spans="1:13" ht="7.9" customHeight="1" x14ac:dyDescent="0.15">
      <c r="A3" s="56"/>
      <c r="B3" s="57"/>
      <c r="I3" s="173"/>
      <c r="J3" s="173"/>
      <c r="K3" s="173"/>
      <c r="L3" s="173"/>
      <c r="M3" s="65"/>
    </row>
    <row r="4" spans="1:13" ht="20.100000000000001" customHeight="1" x14ac:dyDescent="0.15">
      <c r="A4" s="58"/>
      <c r="B4" s="22" t="s">
        <v>374</v>
      </c>
      <c r="C4" s="22" t="s">
        <v>384</v>
      </c>
      <c r="D4" s="22" t="s">
        <v>376</v>
      </c>
      <c r="E4" s="22" t="s">
        <v>377</v>
      </c>
      <c r="F4" s="22" t="s">
        <v>378</v>
      </c>
      <c r="G4" s="23" t="s">
        <v>385</v>
      </c>
      <c r="H4" s="88" t="s">
        <v>388</v>
      </c>
      <c r="I4" s="173"/>
      <c r="J4" s="173"/>
      <c r="K4" s="173"/>
      <c r="L4" s="173"/>
      <c r="M4" s="65"/>
    </row>
    <row r="5" spans="1:13" ht="7.9" customHeight="1" x14ac:dyDescent="0.15">
      <c r="A5" s="56"/>
      <c r="B5" s="57"/>
      <c r="G5" s="21"/>
      <c r="I5" s="173"/>
      <c r="J5" s="173"/>
      <c r="K5" s="173"/>
      <c r="L5" s="173"/>
      <c r="M5" s="65"/>
    </row>
    <row r="6" spans="1:13" ht="7.9" customHeight="1" x14ac:dyDescent="0.15">
      <c r="A6" s="918" t="s">
        <v>188</v>
      </c>
      <c r="B6" s="973"/>
      <c r="C6" s="974"/>
      <c r="D6" s="974"/>
      <c r="E6" s="974"/>
      <c r="F6" s="974"/>
      <c r="G6" s="974"/>
      <c r="H6" s="932"/>
      <c r="I6" s="173"/>
      <c r="J6" s="173"/>
      <c r="K6" s="173"/>
      <c r="L6" s="173"/>
      <c r="M6" s="65"/>
    </row>
    <row r="7" spans="1:13" ht="7.9" customHeight="1" x14ac:dyDescent="0.15">
      <c r="A7" s="19" t="s">
        <v>588</v>
      </c>
      <c r="H7" s="53"/>
      <c r="I7" s="53"/>
      <c r="J7" s="173"/>
      <c r="K7" s="173"/>
      <c r="L7" s="173"/>
      <c r="M7" s="65"/>
    </row>
    <row r="8" spans="1:13" ht="7.9" customHeight="1" x14ac:dyDescent="0.15">
      <c r="A8" s="19" t="s">
        <v>843</v>
      </c>
      <c r="B8" s="624">
        <v>1.31601731601732E-2</v>
      </c>
      <c r="C8" s="624">
        <v>1.02372751626483E-2</v>
      </c>
      <c r="D8" s="624">
        <v>4.1666666666666701E-3</v>
      </c>
      <c r="E8" s="624">
        <v>1.3199944421286599E-2</v>
      </c>
      <c r="F8" s="286">
        <v>9.1708542713567799E-3</v>
      </c>
      <c r="G8" s="625">
        <v>1.1095907983067499E-2</v>
      </c>
      <c r="H8" s="611">
        <v>1.3593219467023399E-2</v>
      </c>
      <c r="I8" s="173"/>
      <c r="J8" s="173"/>
      <c r="K8" s="173"/>
      <c r="L8" s="173"/>
      <c r="M8" s="65"/>
    </row>
    <row r="9" spans="1:13" ht="7.9" customHeight="1" x14ac:dyDescent="0.15">
      <c r="A9" s="19" t="s">
        <v>187</v>
      </c>
      <c r="B9" s="419"/>
      <c r="C9" s="419"/>
      <c r="D9" s="419"/>
      <c r="E9" s="419"/>
      <c r="F9" s="419"/>
      <c r="G9" s="423"/>
      <c r="H9" s="420"/>
      <c r="I9" s="327"/>
      <c r="J9" s="173"/>
      <c r="K9" s="173"/>
      <c r="L9" s="173"/>
      <c r="M9" s="65"/>
    </row>
    <row r="10" spans="1:13" ht="7.9" customHeight="1" x14ac:dyDescent="0.15">
      <c r="A10" s="19" t="s">
        <v>840</v>
      </c>
      <c r="B10" s="612">
        <v>0.06</v>
      </c>
      <c r="C10" s="612">
        <v>8.3000000000000004E-2</v>
      </c>
      <c r="D10" s="612">
        <v>9.8000000000000004E-2</v>
      </c>
      <c r="E10" s="612">
        <v>0.11899999999999999</v>
      </c>
      <c r="F10" s="612">
        <v>7.6999999999999999E-2</v>
      </c>
      <c r="G10" s="610">
        <v>8.1000000000000003E-2</v>
      </c>
      <c r="H10" s="611">
        <v>8.6999999999999994E-2</v>
      </c>
      <c r="I10" s="327"/>
      <c r="J10" s="173"/>
      <c r="K10" s="173"/>
      <c r="L10" s="173"/>
      <c r="M10" s="65"/>
    </row>
    <row r="11" spans="1:13" ht="7.9" customHeight="1" x14ac:dyDescent="0.15">
      <c r="A11" s="19"/>
      <c r="B11" s="67"/>
      <c r="C11" s="67"/>
      <c r="D11" s="67"/>
      <c r="E11" s="67"/>
      <c r="F11" s="67"/>
      <c r="G11" s="26"/>
      <c r="H11" s="163"/>
      <c r="I11" s="173"/>
      <c r="J11" s="173"/>
      <c r="K11" s="173"/>
      <c r="L11" s="173"/>
      <c r="M11" s="65"/>
    </row>
    <row r="12" spans="1:13" ht="7.9" customHeight="1" x14ac:dyDescent="0.15">
      <c r="A12" s="918" t="s">
        <v>841</v>
      </c>
      <c r="B12" s="973"/>
      <c r="C12" s="974"/>
      <c r="D12" s="974"/>
      <c r="E12" s="974"/>
      <c r="F12" s="974"/>
      <c r="G12" s="974"/>
      <c r="H12" s="932"/>
      <c r="I12" s="593"/>
      <c r="J12" s="173"/>
      <c r="K12" s="173"/>
      <c r="L12" s="173"/>
      <c r="M12" s="65"/>
    </row>
    <row r="13" spans="1:13" ht="7.9" customHeight="1" x14ac:dyDescent="0.15">
      <c r="A13" s="13" t="s">
        <v>195</v>
      </c>
      <c r="B13" s="609">
        <v>0.48942045254107303</v>
      </c>
      <c r="C13" s="609">
        <v>0.40191485734833998</v>
      </c>
      <c r="D13" s="609">
        <v>0.36115071363196199</v>
      </c>
      <c r="E13" s="609">
        <v>0.35807978016074699</v>
      </c>
      <c r="F13" s="609">
        <v>0.35588872015963902</v>
      </c>
      <c r="G13" s="610">
        <v>0.417950658091783</v>
      </c>
      <c r="H13" s="611">
        <v>0.43325507754645698</v>
      </c>
      <c r="I13" s="173"/>
      <c r="J13" s="173"/>
      <c r="K13" s="173"/>
      <c r="L13" s="173"/>
      <c r="M13" s="65"/>
    </row>
    <row r="14" spans="1:13" ht="7.9" customHeight="1" x14ac:dyDescent="0.15">
      <c r="A14" s="19" t="s">
        <v>196</v>
      </c>
      <c r="B14" s="609">
        <v>0.139885484905654</v>
      </c>
      <c r="C14" s="609">
        <v>0.16125513099594299</v>
      </c>
      <c r="D14" s="609">
        <v>0.15793423258786499</v>
      </c>
      <c r="E14" s="609">
        <v>0.178927973613175</v>
      </c>
      <c r="F14" s="609">
        <v>0.139788793882827</v>
      </c>
      <c r="G14" s="610">
        <v>0.15246411083417499</v>
      </c>
      <c r="H14" s="611">
        <v>0.19879153313159201</v>
      </c>
      <c r="I14" s="173"/>
      <c r="J14" s="173"/>
      <c r="K14" s="173"/>
      <c r="L14" s="173"/>
      <c r="M14" s="65"/>
    </row>
    <row r="15" spans="1:13" ht="7.9" customHeight="1" x14ac:dyDescent="0.15">
      <c r="A15" s="19"/>
      <c r="B15" s="419"/>
      <c r="C15" s="419"/>
      <c r="D15" s="419"/>
      <c r="E15" s="419"/>
      <c r="F15" s="419"/>
      <c r="G15" s="423"/>
      <c r="H15" s="420"/>
      <c r="I15" s="173"/>
      <c r="J15" s="173"/>
      <c r="K15" s="173"/>
      <c r="L15" s="173"/>
      <c r="M15" s="65"/>
    </row>
    <row r="16" spans="1:13" ht="7.9" customHeight="1" x14ac:dyDescent="0.15">
      <c r="A16" s="918" t="s">
        <v>908</v>
      </c>
      <c r="B16" s="975">
        <v>10381</v>
      </c>
      <c r="C16" s="935">
        <v>7109</v>
      </c>
      <c r="D16" s="935">
        <v>1949</v>
      </c>
      <c r="E16" s="935">
        <v>3244</v>
      </c>
      <c r="F16" s="935">
        <v>4469</v>
      </c>
      <c r="G16" s="935">
        <f>SUM(B16:F16)</f>
        <v>27152</v>
      </c>
      <c r="H16" s="935">
        <v>410509</v>
      </c>
      <c r="J16" s="173"/>
      <c r="K16" s="173"/>
      <c r="L16" s="173"/>
      <c r="M16" s="65"/>
    </row>
    <row r="17" spans="1:15" ht="7.9" customHeight="1" x14ac:dyDescent="0.15">
      <c r="A17" s="19"/>
      <c r="B17" s="132"/>
      <c r="C17" s="132"/>
      <c r="D17" s="132"/>
      <c r="E17" s="132"/>
      <c r="F17" s="132"/>
      <c r="G17" s="133"/>
      <c r="H17" s="133"/>
      <c r="I17" s="173"/>
      <c r="J17" s="173"/>
      <c r="K17" s="173"/>
      <c r="L17" s="173"/>
      <c r="M17" s="65"/>
    </row>
    <row r="18" spans="1:15" ht="7.9" customHeight="1" x14ac:dyDescent="0.15">
      <c r="A18" s="918" t="s">
        <v>844</v>
      </c>
      <c r="B18" s="975"/>
      <c r="C18" s="935"/>
      <c r="D18" s="935"/>
      <c r="E18" s="935"/>
      <c r="F18" s="935"/>
      <c r="G18" s="935"/>
      <c r="H18" s="935"/>
      <c r="I18" s="173"/>
      <c r="J18" s="173"/>
      <c r="K18" s="173"/>
      <c r="L18" s="173"/>
      <c r="M18" s="65"/>
    </row>
    <row r="19" spans="1:15" ht="7.9" customHeight="1" x14ac:dyDescent="0.15">
      <c r="A19" s="65" t="s">
        <v>476</v>
      </c>
      <c r="B19" s="421">
        <v>5680</v>
      </c>
      <c r="C19" s="421">
        <v>4458</v>
      </c>
      <c r="D19" s="421">
        <v>1515</v>
      </c>
      <c r="E19" s="421">
        <v>2736</v>
      </c>
      <c r="F19" s="421">
        <v>3103</v>
      </c>
      <c r="G19" s="424">
        <v>17492</v>
      </c>
      <c r="H19" s="402">
        <v>278395</v>
      </c>
      <c r="I19" s="173"/>
      <c r="J19" s="351"/>
      <c r="K19" s="173"/>
      <c r="L19" s="173"/>
      <c r="M19" s="65"/>
      <c r="N19" s="65"/>
      <c r="O19" s="65"/>
    </row>
    <row r="20" spans="1:15" ht="7.9" customHeight="1" x14ac:dyDescent="0.15">
      <c r="A20" s="65" t="s">
        <v>477</v>
      </c>
      <c r="B20" s="421">
        <v>275</v>
      </c>
      <c r="C20" s="421">
        <v>295</v>
      </c>
      <c r="D20" s="421">
        <v>40</v>
      </c>
      <c r="E20" s="421">
        <v>222</v>
      </c>
      <c r="F20" s="421">
        <v>208</v>
      </c>
      <c r="G20" s="424">
        <v>1040</v>
      </c>
      <c r="H20" s="402">
        <v>27765</v>
      </c>
      <c r="I20" s="173"/>
      <c r="J20" s="173"/>
      <c r="K20" s="173"/>
      <c r="L20" s="173"/>
      <c r="M20" s="65"/>
      <c r="N20" s="65"/>
      <c r="O20" s="65"/>
    </row>
    <row r="21" spans="1:15" ht="7.9" customHeight="1" x14ac:dyDescent="0.15">
      <c r="A21" s="65" t="s">
        <v>478</v>
      </c>
      <c r="B21" s="422">
        <v>283</v>
      </c>
      <c r="C21" s="422">
        <v>248</v>
      </c>
      <c r="D21" s="422">
        <v>64</v>
      </c>
      <c r="E21" s="422">
        <v>160</v>
      </c>
      <c r="F21" s="422">
        <v>180</v>
      </c>
      <c r="G21" s="424">
        <v>935</v>
      </c>
      <c r="H21" s="402">
        <v>24355</v>
      </c>
      <c r="I21" s="173"/>
      <c r="J21" s="173"/>
      <c r="K21" s="173"/>
      <c r="L21" s="173"/>
      <c r="M21" s="65"/>
      <c r="N21" s="65"/>
      <c r="O21" s="65"/>
    </row>
    <row r="22" spans="1:15" ht="7.9" customHeight="1" x14ac:dyDescent="0.15">
      <c r="A22" s="65" t="s">
        <v>704</v>
      </c>
      <c r="B22" s="421">
        <v>3637.4755669370888</v>
      </c>
      <c r="C22" s="421">
        <v>1634.0222273350203</v>
      </c>
      <c r="D22" s="421">
        <v>610.98222413396411</v>
      </c>
      <c r="E22" s="421">
        <v>1102.6097812278051</v>
      </c>
      <c r="F22" s="421">
        <v>1069.9293366811046</v>
      </c>
      <c r="G22" s="424">
        <v>8055.0191363149825</v>
      </c>
      <c r="H22" s="394">
        <v>138228.33421028938</v>
      </c>
      <c r="I22" s="173"/>
      <c r="J22" s="173"/>
      <c r="K22" s="173"/>
      <c r="L22" s="173"/>
      <c r="M22" s="65"/>
    </row>
    <row r="23" spans="1:15" ht="7.9" customHeight="1" thickBot="1" x14ac:dyDescent="0.2">
      <c r="A23" s="1008"/>
      <c r="B23" s="1009"/>
      <c r="C23" s="1009"/>
      <c r="D23" s="1009"/>
      <c r="E23" s="1009"/>
      <c r="F23" s="1009"/>
      <c r="G23" s="1010"/>
      <c r="H23" s="1010"/>
      <c r="I23" s="173"/>
      <c r="J23" s="173"/>
      <c r="K23" s="173"/>
      <c r="L23" s="173"/>
      <c r="M23" s="65"/>
    </row>
    <row r="24" spans="1:15" ht="7.9" customHeight="1" thickTop="1" x14ac:dyDescent="0.15">
      <c r="A24" s="61" t="s">
        <v>723</v>
      </c>
      <c r="I24" s="173"/>
      <c r="J24" s="173"/>
      <c r="K24" s="173"/>
      <c r="L24" s="173"/>
      <c r="M24" s="65"/>
    </row>
    <row r="25" spans="1:15" ht="7.9" customHeight="1" x14ac:dyDescent="0.15">
      <c r="A25" s="134" t="s">
        <v>194</v>
      </c>
      <c r="I25" s="173"/>
      <c r="J25" s="173"/>
      <c r="K25" s="173"/>
      <c r="L25" s="173"/>
      <c r="M25" s="65"/>
    </row>
    <row r="26" spans="1:15" ht="7.9" customHeight="1" x14ac:dyDescent="0.15">
      <c r="A26" s="86" t="s">
        <v>587</v>
      </c>
      <c r="B26" s="86"/>
      <c r="I26" s="173"/>
      <c r="J26" s="173"/>
      <c r="K26" s="173"/>
      <c r="L26" s="173"/>
      <c r="M26" s="65"/>
    </row>
    <row r="27" spans="1:15" ht="7.9" customHeight="1" x14ac:dyDescent="0.15">
      <c r="A27" s="86" t="s">
        <v>27</v>
      </c>
      <c r="I27" s="173"/>
      <c r="J27" s="173"/>
      <c r="K27" s="173"/>
      <c r="L27" s="173"/>
      <c r="M27" s="65"/>
    </row>
    <row r="28" spans="1:15" ht="7.9" customHeight="1" x14ac:dyDescent="0.15">
      <c r="A28" s="86" t="s">
        <v>28</v>
      </c>
      <c r="I28" s="173"/>
      <c r="J28" s="173"/>
      <c r="K28" s="173"/>
      <c r="L28" s="173"/>
      <c r="M28" s="65"/>
    </row>
    <row r="29" spans="1:15" ht="7.9" customHeight="1" x14ac:dyDescent="0.15">
      <c r="I29" s="173"/>
      <c r="J29" s="173"/>
      <c r="K29" s="173"/>
      <c r="L29" s="173"/>
      <c r="M29" s="65"/>
    </row>
    <row r="30" spans="1:15" ht="7.9" customHeight="1" x14ac:dyDescent="0.15">
      <c r="I30" s="173"/>
      <c r="J30" s="173"/>
      <c r="K30" s="173"/>
      <c r="L30" s="173"/>
      <c r="M30" s="65"/>
    </row>
    <row r="31" spans="1:15" ht="7.9" customHeight="1" x14ac:dyDescent="0.15">
      <c r="I31" s="173"/>
      <c r="J31" s="173"/>
      <c r="K31" s="173"/>
      <c r="L31" s="173"/>
      <c r="M31" s="65"/>
    </row>
    <row r="32" spans="1:15" ht="7.9" customHeight="1" x14ac:dyDescent="0.15">
      <c r="I32" s="173"/>
      <c r="J32" s="173"/>
      <c r="K32" s="173"/>
      <c r="L32" s="173"/>
      <c r="M32" s="65"/>
    </row>
    <row r="33" ht="7.9" customHeight="1" x14ac:dyDescent="0.15"/>
    <row r="34" ht="7.9" customHeight="1" x14ac:dyDescent="0.15"/>
    <row r="35" ht="7.9" customHeight="1" x14ac:dyDescent="0.15"/>
    <row r="36" ht="7.9" customHeight="1" x14ac:dyDescent="0.15"/>
    <row r="37"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L36"/>
  <sheetViews>
    <sheetView zoomScale="140" zoomScaleNormal="140" workbookViewId="0">
      <selection sqref="A1:H1"/>
    </sheetView>
  </sheetViews>
  <sheetFormatPr baseColWidth="10" defaultRowHeight="9.9499999999999993" customHeight="1" x14ac:dyDescent="0.15"/>
  <cols>
    <col min="1" max="1" width="25.28515625" style="53" customWidth="1"/>
    <col min="2" max="6" width="6.7109375" style="53" customWidth="1"/>
    <col min="7" max="7" width="6.85546875" style="53" customWidth="1"/>
    <col min="8" max="8" width="9.5703125" style="54" customWidth="1"/>
    <col min="9" max="9" width="4.7109375" style="617" customWidth="1"/>
    <col min="10" max="10" width="7.7109375" style="244" customWidth="1"/>
    <col min="11" max="11" width="27.28515625" style="241" customWidth="1"/>
    <col min="12" max="12" width="11.42578125" style="241" customWidth="1"/>
    <col min="13" max="16384" width="11.42578125" style="53"/>
  </cols>
  <sheetData>
    <row r="1" spans="1:11" ht="15" customHeight="1" x14ac:dyDescent="0.15">
      <c r="A1" s="1019" t="s">
        <v>285</v>
      </c>
      <c r="B1" s="1019"/>
      <c r="C1" s="1019"/>
      <c r="D1" s="1019"/>
      <c r="E1" s="1019"/>
      <c r="F1" s="1019"/>
      <c r="G1" s="1019"/>
      <c r="H1" s="1019"/>
    </row>
    <row r="2" spans="1:11" ht="9.9499999999999993" customHeight="1" x14ac:dyDescent="0.15">
      <c r="A2" s="1021" t="s">
        <v>845</v>
      </c>
      <c r="B2" s="1021"/>
      <c r="C2" s="1021"/>
      <c r="D2" s="1021"/>
      <c r="E2" s="1021"/>
      <c r="F2" s="1021"/>
      <c r="G2" s="1021"/>
      <c r="H2" s="1021"/>
    </row>
    <row r="3" spans="1:11" ht="7.9" customHeight="1" x14ac:dyDescent="0.15">
      <c r="A3" s="56"/>
      <c r="B3" s="57"/>
    </row>
    <row r="4" spans="1:11" ht="20.100000000000001" customHeight="1" x14ac:dyDescent="0.15">
      <c r="A4" s="58"/>
      <c r="B4" s="22" t="s">
        <v>374</v>
      </c>
      <c r="C4" s="22" t="s">
        <v>384</v>
      </c>
      <c r="D4" s="22" t="s">
        <v>376</v>
      </c>
      <c r="E4" s="22" t="s">
        <v>377</v>
      </c>
      <c r="F4" s="22" t="s">
        <v>378</v>
      </c>
      <c r="G4" s="23" t="s">
        <v>385</v>
      </c>
      <c r="H4" s="88" t="s">
        <v>380</v>
      </c>
    </row>
    <row r="5" spans="1:11" ht="7.9" customHeight="1" x14ac:dyDescent="0.15">
      <c r="A5" s="287"/>
      <c r="B5" s="174"/>
      <c r="C5" s="65"/>
      <c r="D5" s="65"/>
      <c r="E5" s="65"/>
      <c r="F5" s="65"/>
      <c r="G5" s="13"/>
      <c r="H5" s="66"/>
    </row>
    <row r="6" spans="1:11" ht="7.9" customHeight="1" x14ac:dyDescent="0.15">
      <c r="A6" s="929" t="s">
        <v>276</v>
      </c>
      <c r="B6" s="976">
        <v>41047</v>
      </c>
      <c r="C6" s="976">
        <v>25931</v>
      </c>
      <c r="D6" s="976">
        <v>8717</v>
      </c>
      <c r="E6" s="976">
        <v>16770</v>
      </c>
      <c r="F6" s="976">
        <v>17030</v>
      </c>
      <c r="G6" s="977">
        <v>109496</v>
      </c>
      <c r="H6" s="978">
        <v>1864704</v>
      </c>
      <c r="K6" s="173"/>
    </row>
    <row r="7" spans="1:11" ht="7.9" customHeight="1" x14ac:dyDescent="0.15">
      <c r="A7" s="364" t="s">
        <v>52</v>
      </c>
      <c r="B7" s="766">
        <v>83.26313200849016</v>
      </c>
      <c r="C7" s="766">
        <v>81.494001855855274</v>
      </c>
      <c r="D7" s="766">
        <v>81.16774886530888</v>
      </c>
      <c r="E7" s="766">
        <v>79.623368369912967</v>
      </c>
      <c r="F7" s="766">
        <v>80.822854793151251</v>
      </c>
      <c r="G7" s="767">
        <v>81.740327599696855</v>
      </c>
      <c r="H7" s="768">
        <v>82.1</v>
      </c>
    </row>
    <row r="8" spans="1:11" ht="7.9" customHeight="1" x14ac:dyDescent="0.15">
      <c r="A8" s="364" t="s">
        <v>5</v>
      </c>
      <c r="B8" s="766">
        <v>9.4436958704920269</v>
      </c>
      <c r="C8" s="766">
        <v>10.171203620079142</v>
      </c>
      <c r="D8" s="766">
        <v>12.043677117451866</v>
      </c>
      <c r="E8" s="766">
        <v>10.79561483548083</v>
      </c>
      <c r="F8" s="766">
        <v>11.072540011034532</v>
      </c>
      <c r="G8" s="767">
        <v>10.283380022245368</v>
      </c>
      <c r="H8" s="768">
        <v>8.9</v>
      </c>
    </row>
    <row r="9" spans="1:11" ht="7.9" customHeight="1" x14ac:dyDescent="0.15">
      <c r="A9" s="364" t="s">
        <v>6</v>
      </c>
      <c r="B9" s="769">
        <f>B30/B6*100</f>
        <v>5.0332545618437399</v>
      </c>
      <c r="C9" s="769">
        <f t="shared" ref="C9:H9" si="0">C30/C6*100</f>
        <v>5.9388376846245805</v>
      </c>
      <c r="D9" s="769">
        <f t="shared" si="0"/>
        <v>4.9787771022140648</v>
      </c>
      <c r="E9" s="769">
        <f t="shared" si="0"/>
        <v>6.5414430530709593</v>
      </c>
      <c r="F9" s="769">
        <f t="shared" si="0"/>
        <v>5.9248385202583673</v>
      </c>
      <c r="G9" s="770">
        <f t="shared" si="0"/>
        <v>5.6129904288741139</v>
      </c>
      <c r="H9" s="769">
        <f t="shared" si="0"/>
        <v>5.8248923153487091</v>
      </c>
      <c r="I9" s="593"/>
      <c r="J9" s="351"/>
    </row>
    <row r="10" spans="1:11" ht="7.9" customHeight="1" x14ac:dyDescent="0.15">
      <c r="A10" s="929" t="s">
        <v>277</v>
      </c>
      <c r="B10" s="976">
        <v>43231</v>
      </c>
      <c r="C10" s="976">
        <v>26194</v>
      </c>
      <c r="D10" s="976">
        <v>9643</v>
      </c>
      <c r="E10" s="976">
        <v>17944</v>
      </c>
      <c r="F10" s="976">
        <v>18366</v>
      </c>
      <c r="G10" s="977">
        <v>115379</v>
      </c>
      <c r="H10" s="978">
        <v>1960828</v>
      </c>
      <c r="I10" s="593"/>
      <c r="J10" s="351"/>
    </row>
    <row r="11" spans="1:11" ht="7.9" customHeight="1" x14ac:dyDescent="0.15">
      <c r="A11" s="364" t="s">
        <v>53</v>
      </c>
      <c r="B11" s="771">
        <v>74.561908954484281</v>
      </c>
      <c r="C11" s="771">
        <v>69.751717773079548</v>
      </c>
      <c r="D11" s="771">
        <v>70.508100208782167</v>
      </c>
      <c r="E11" s="771">
        <v>69.61238476441865</v>
      </c>
      <c r="F11" s="771">
        <v>65.805457879103358</v>
      </c>
      <c r="G11" s="767">
        <v>70.967404613465916</v>
      </c>
      <c r="H11" s="768">
        <v>74.7</v>
      </c>
      <c r="I11" s="593"/>
      <c r="J11" s="351"/>
    </row>
    <row r="12" spans="1:11" ht="7.9" customHeight="1" x14ac:dyDescent="0.15">
      <c r="A12" s="364" t="s">
        <v>5</v>
      </c>
      <c r="B12" s="771">
        <v>16.997658385870405</v>
      </c>
      <c r="C12" s="771">
        <v>21.215237103076586</v>
      </c>
      <c r="D12" s="771">
        <v>21.347180352340196</v>
      </c>
      <c r="E12" s="771">
        <v>19.428345958885348</v>
      </c>
      <c r="F12" s="771">
        <v>25.281097985683587</v>
      </c>
      <c r="G12" s="767">
        <v>20.015304189889076</v>
      </c>
      <c r="H12" s="768">
        <v>14.9</v>
      </c>
      <c r="I12" s="593"/>
      <c r="J12" s="351"/>
    </row>
    <row r="13" spans="1:11" ht="7.9" customHeight="1" x14ac:dyDescent="0.15">
      <c r="A13" s="364" t="s">
        <v>6</v>
      </c>
      <c r="B13" s="772">
        <f>B31/B10*100</f>
        <v>6.0072633064236314</v>
      </c>
      <c r="C13" s="772">
        <f t="shared" ref="C13:H13" si="1">C31/C10*100</f>
        <v>6.6541956173169421</v>
      </c>
      <c r="D13" s="772">
        <f t="shared" si="1"/>
        <v>5.9317639738670538</v>
      </c>
      <c r="E13" s="772">
        <f t="shared" si="1"/>
        <v>7.8187695051270616</v>
      </c>
      <c r="F13" s="772">
        <f t="shared" si="1"/>
        <v>6.3868016987912446</v>
      </c>
      <c r="G13" s="773">
        <f t="shared" si="1"/>
        <v>6.4916492602640004</v>
      </c>
      <c r="H13" s="774">
        <f t="shared" si="1"/>
        <v>6.9646088285153009</v>
      </c>
      <c r="I13" s="593"/>
      <c r="J13" s="351"/>
    </row>
    <row r="14" spans="1:11" ht="7.9" customHeight="1" x14ac:dyDescent="0.15">
      <c r="A14" s="929" t="s">
        <v>278</v>
      </c>
      <c r="B14" s="976">
        <v>40190</v>
      </c>
      <c r="C14" s="976">
        <v>24662</v>
      </c>
      <c r="D14" s="976">
        <v>6920</v>
      </c>
      <c r="E14" s="976">
        <v>14605</v>
      </c>
      <c r="F14" s="976">
        <v>13471</v>
      </c>
      <c r="G14" s="977">
        <f>SUM(B14:F14)</f>
        <v>99848</v>
      </c>
      <c r="H14" s="978">
        <v>1882122</v>
      </c>
      <c r="I14" s="593"/>
      <c r="J14" s="351"/>
    </row>
    <row r="15" spans="1:11" ht="7.9" customHeight="1" x14ac:dyDescent="0.15">
      <c r="A15" s="364" t="s">
        <v>52</v>
      </c>
      <c r="B15" s="771">
        <v>31.800096843779375</v>
      </c>
      <c r="C15" s="771">
        <v>29.874322105896102</v>
      </c>
      <c r="D15" s="771">
        <v>15.570910848773241</v>
      </c>
      <c r="E15" s="771">
        <v>19.873305960141572</v>
      </c>
      <c r="F15" s="771">
        <v>14.233098539794156</v>
      </c>
      <c r="G15" s="767">
        <v>26.085141116312275</v>
      </c>
      <c r="H15" s="768">
        <v>28.8</v>
      </c>
      <c r="I15" s="593"/>
      <c r="J15" s="351"/>
    </row>
    <row r="16" spans="1:11" ht="7.9" customHeight="1" x14ac:dyDescent="0.15">
      <c r="A16" s="364" t="s">
        <v>5</v>
      </c>
      <c r="B16" s="771">
        <v>49.331715561310311</v>
      </c>
      <c r="C16" s="771">
        <v>49.330339638935733</v>
      </c>
      <c r="D16" s="771">
        <v>62.817166423589057</v>
      </c>
      <c r="E16" s="771">
        <v>53.139086958328733</v>
      </c>
      <c r="F16" s="771">
        <v>59.681241613405497</v>
      </c>
      <c r="G16" s="767">
        <v>52.219151553983764</v>
      </c>
      <c r="H16" s="768">
        <v>47.4</v>
      </c>
      <c r="I16" s="593"/>
      <c r="J16" s="351"/>
    </row>
    <row r="17" spans="1:10" ht="7.9" customHeight="1" x14ac:dyDescent="0.15">
      <c r="A17" s="364" t="s">
        <v>6</v>
      </c>
      <c r="B17" s="769">
        <f>B32/B14*100</f>
        <v>14.558347847723313</v>
      </c>
      <c r="C17" s="769">
        <f t="shared" ref="C17:H17" si="2">C32/C14*100</f>
        <v>16.081420809342308</v>
      </c>
      <c r="D17" s="769">
        <f t="shared" si="2"/>
        <v>15.65028901734104</v>
      </c>
      <c r="E17" s="769">
        <f t="shared" si="2"/>
        <v>21.013351591920575</v>
      </c>
      <c r="F17" s="769">
        <f t="shared" si="2"/>
        <v>21.238215425729344</v>
      </c>
      <c r="G17" s="770">
        <f t="shared" si="2"/>
        <v>16.856622065539622</v>
      </c>
      <c r="H17" s="769">
        <f t="shared" si="2"/>
        <v>17.089593554509218</v>
      </c>
      <c r="I17" s="593"/>
      <c r="J17" s="351"/>
    </row>
    <row r="18" spans="1:10" ht="7.9" customHeight="1" x14ac:dyDescent="0.15">
      <c r="A18" s="929" t="s">
        <v>279</v>
      </c>
      <c r="B18" s="976">
        <v>41837</v>
      </c>
      <c r="C18" s="976">
        <v>25227</v>
      </c>
      <c r="D18" s="976">
        <v>7759</v>
      </c>
      <c r="E18" s="976">
        <v>15419</v>
      </c>
      <c r="F18" s="976">
        <v>14871</v>
      </c>
      <c r="G18" s="977">
        <f>SUM(B18:F18)</f>
        <v>105113</v>
      </c>
      <c r="H18" s="978">
        <v>1912209</v>
      </c>
      <c r="I18" s="593"/>
      <c r="J18" s="351"/>
    </row>
    <row r="19" spans="1:10" ht="7.9" customHeight="1" x14ac:dyDescent="0.15">
      <c r="A19" s="364" t="s">
        <v>53</v>
      </c>
      <c r="B19" s="771">
        <v>26.553600056263004</v>
      </c>
      <c r="C19" s="771">
        <v>23.343859249957578</v>
      </c>
      <c r="D19" s="771">
        <v>14.583897787170486</v>
      </c>
      <c r="E19" s="771">
        <v>18.584362375687135</v>
      </c>
      <c r="F19" s="771">
        <v>8.5137292953517445</v>
      </c>
      <c r="G19" s="767">
        <v>21.178466775621953</v>
      </c>
      <c r="H19" s="768">
        <v>24.1</v>
      </c>
      <c r="I19" s="593"/>
      <c r="J19" s="351"/>
    </row>
    <row r="20" spans="1:10" ht="7.9" customHeight="1" x14ac:dyDescent="0.15">
      <c r="A20" s="364" t="s">
        <v>5</v>
      </c>
      <c r="B20" s="775">
        <v>54.560614446847445</v>
      </c>
      <c r="C20" s="775">
        <v>57.039222511327438</v>
      </c>
      <c r="D20" s="775">
        <v>67.260740643088369</v>
      </c>
      <c r="E20" s="775">
        <v>57.65562053216069</v>
      </c>
      <c r="F20" s="775">
        <v>70.044593966966374</v>
      </c>
      <c r="G20" s="776">
        <v>58.737606173451759</v>
      </c>
      <c r="H20" s="768">
        <v>52.4</v>
      </c>
      <c r="I20" s="593"/>
      <c r="J20" s="351"/>
    </row>
    <row r="21" spans="1:10" ht="7.9" customHeight="1" x14ac:dyDescent="0.15">
      <c r="A21" s="364" t="s">
        <v>6</v>
      </c>
      <c r="B21" s="772">
        <f>B33/B18*100</f>
        <v>15.961947558381336</v>
      </c>
      <c r="C21" s="777">
        <f t="shared" ref="C21:H21" si="3">C33/C18*100</f>
        <v>16.664684663257621</v>
      </c>
      <c r="D21" s="772">
        <f t="shared" si="3"/>
        <v>15.143704085578038</v>
      </c>
      <c r="E21" s="772">
        <f t="shared" si="3"/>
        <v>19.852130488358519</v>
      </c>
      <c r="F21" s="772">
        <f t="shared" si="3"/>
        <v>18.310806267231523</v>
      </c>
      <c r="G21" s="773">
        <f t="shared" si="3"/>
        <v>16.973162215900985</v>
      </c>
      <c r="H21" s="778">
        <f t="shared" si="3"/>
        <v>18.878428037939369</v>
      </c>
      <c r="I21" s="593"/>
      <c r="J21" s="351"/>
    </row>
    <row r="22" spans="1:10" ht="7.9" customHeight="1" thickBot="1" x14ac:dyDescent="0.2">
      <c r="A22" s="1008"/>
      <c r="B22" s="1009"/>
      <c r="C22" s="1009"/>
      <c r="D22" s="1009"/>
      <c r="E22" s="1009"/>
      <c r="F22" s="1009"/>
      <c r="G22" s="1010"/>
      <c r="H22" s="1010"/>
    </row>
    <row r="23" spans="1:10" ht="7.9" customHeight="1" thickTop="1" x14ac:dyDescent="0.15">
      <c r="A23" s="61" t="s">
        <v>846</v>
      </c>
      <c r="B23" s="21"/>
      <c r="C23" s="21"/>
      <c r="D23" s="21"/>
      <c r="E23" s="21"/>
      <c r="F23" s="21"/>
      <c r="G23" s="21"/>
    </row>
    <row r="24" spans="1:10" ht="7.9" customHeight="1" x14ac:dyDescent="0.15">
      <c r="A24" s="230"/>
    </row>
    <row r="25" spans="1:10" ht="7.9" customHeight="1" x14ac:dyDescent="0.15"/>
    <row r="26" spans="1:10" ht="7.9" customHeight="1" x14ac:dyDescent="0.15"/>
    <row r="27" spans="1:10" ht="7.9" customHeight="1" x14ac:dyDescent="0.15"/>
    <row r="28" spans="1:10" ht="7.9" customHeight="1" x14ac:dyDescent="0.15"/>
    <row r="29" spans="1:10" ht="7.9" customHeight="1" x14ac:dyDescent="0.15"/>
    <row r="30" spans="1:10" ht="7.9" customHeight="1" x14ac:dyDescent="0.15">
      <c r="A30" s="680" t="s">
        <v>607</v>
      </c>
      <c r="B30" s="681">
        <v>2066</v>
      </c>
      <c r="C30" s="681">
        <v>1540</v>
      </c>
      <c r="D30" s="681">
        <v>434</v>
      </c>
      <c r="E30" s="681">
        <v>1097</v>
      </c>
      <c r="F30" s="681">
        <v>1009</v>
      </c>
      <c r="G30" s="681">
        <v>6146</v>
      </c>
      <c r="H30" s="682">
        <v>108617</v>
      </c>
    </row>
    <row r="31" spans="1:10" ht="7.9" customHeight="1" x14ac:dyDescent="0.15">
      <c r="A31" s="680" t="s">
        <v>608</v>
      </c>
      <c r="B31" s="681">
        <v>2597</v>
      </c>
      <c r="C31" s="681">
        <v>1743</v>
      </c>
      <c r="D31" s="681">
        <v>572</v>
      </c>
      <c r="E31" s="681">
        <v>1403</v>
      </c>
      <c r="F31" s="681">
        <v>1173</v>
      </c>
      <c r="G31" s="681">
        <v>7490</v>
      </c>
      <c r="H31" s="682">
        <v>136564</v>
      </c>
    </row>
    <row r="32" spans="1:10" ht="7.9" customHeight="1" x14ac:dyDescent="0.15">
      <c r="A32" s="680" t="s">
        <v>609</v>
      </c>
      <c r="B32" s="681">
        <v>5851</v>
      </c>
      <c r="C32" s="681">
        <v>3966</v>
      </c>
      <c r="D32" s="681">
        <v>1083</v>
      </c>
      <c r="E32" s="681">
        <v>3069</v>
      </c>
      <c r="F32" s="681">
        <v>2861</v>
      </c>
      <c r="G32" s="681">
        <v>16831</v>
      </c>
      <c r="H32" s="682">
        <v>321647</v>
      </c>
    </row>
    <row r="33" spans="1:8" ht="7.9" customHeight="1" x14ac:dyDescent="0.15">
      <c r="A33" s="680" t="s">
        <v>610</v>
      </c>
      <c r="B33" s="681">
        <v>6678</v>
      </c>
      <c r="C33" s="681">
        <v>4204</v>
      </c>
      <c r="D33" s="681">
        <v>1175</v>
      </c>
      <c r="E33" s="681">
        <v>3061</v>
      </c>
      <c r="F33" s="681">
        <v>2723</v>
      </c>
      <c r="G33" s="681">
        <v>17841</v>
      </c>
      <c r="H33" s="682">
        <v>360995</v>
      </c>
    </row>
    <row r="34" spans="1:8" ht="7.9" customHeight="1" x14ac:dyDescent="0.15">
      <c r="B34" s="51"/>
      <c r="C34" s="51"/>
      <c r="D34" s="51"/>
      <c r="E34" s="51"/>
      <c r="F34" s="51"/>
      <c r="G34" s="51"/>
      <c r="H34" s="52"/>
    </row>
    <row r="35" spans="1:8" ht="7.9" customHeight="1" x14ac:dyDescent="0.15"/>
    <row r="36" spans="1:8" ht="7.9" customHeight="1" x14ac:dyDescent="0.15"/>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dimension ref="A1:Q38"/>
  <sheetViews>
    <sheetView zoomScale="140" zoomScaleNormal="140" workbookViewId="0">
      <selection sqref="A1:H1"/>
    </sheetView>
  </sheetViews>
  <sheetFormatPr baseColWidth="10" defaultRowHeight="15" x14ac:dyDescent="0.25"/>
  <cols>
    <col min="1" max="1" width="32.5703125" customWidth="1"/>
    <col min="2" max="6" width="6.7109375" customWidth="1"/>
    <col min="7" max="7" width="6.85546875" customWidth="1"/>
    <col min="8" max="8" width="9.5703125" customWidth="1"/>
    <col min="13" max="13" width="15.7109375" customWidth="1"/>
  </cols>
  <sheetData>
    <row r="1" spans="1:14" s="53" customFormat="1" ht="15" customHeight="1" x14ac:dyDescent="0.2">
      <c r="A1" s="1019" t="s">
        <v>665</v>
      </c>
      <c r="B1" s="1019"/>
      <c r="C1" s="1019"/>
      <c r="D1" s="1019"/>
      <c r="E1" s="1019"/>
      <c r="F1" s="1019"/>
      <c r="G1" s="1019"/>
      <c r="H1" s="1019"/>
      <c r="I1" s="637"/>
      <c r="J1" s="241"/>
      <c r="K1" s="241"/>
      <c r="L1" s="241"/>
    </row>
    <row r="2" spans="1:14" s="53" customFormat="1" ht="9.9499999999999993" customHeight="1" x14ac:dyDescent="0.15">
      <c r="A2" s="1021" t="s">
        <v>822</v>
      </c>
      <c r="B2" s="1021"/>
      <c r="C2" s="1021"/>
      <c r="D2" s="1021"/>
      <c r="E2" s="1021"/>
      <c r="F2" s="1021"/>
      <c r="G2" s="1021"/>
      <c r="H2" s="1021"/>
      <c r="I2" s="617"/>
      <c r="J2" s="241"/>
      <c r="K2" s="241"/>
      <c r="L2" s="241"/>
    </row>
    <row r="3" spans="1:14" s="53" customFormat="1" ht="7.9" customHeight="1" x14ac:dyDescent="0.15">
      <c r="A3" s="56"/>
      <c r="B3" s="57"/>
      <c r="H3" s="54"/>
      <c r="I3" s="617"/>
      <c r="J3" s="241"/>
      <c r="K3" s="241"/>
      <c r="L3" s="241"/>
    </row>
    <row r="4" spans="1:14" s="53" customFormat="1" ht="20.100000000000001" customHeight="1" x14ac:dyDescent="0.15">
      <c r="A4" s="58"/>
      <c r="B4" s="22" t="s">
        <v>374</v>
      </c>
      <c r="C4" s="22" t="s">
        <v>384</v>
      </c>
      <c r="D4" s="22" t="s">
        <v>376</v>
      </c>
      <c r="E4" s="22" t="s">
        <v>377</v>
      </c>
      <c r="F4" s="22" t="s">
        <v>378</v>
      </c>
      <c r="G4" s="23" t="s">
        <v>385</v>
      </c>
      <c r="H4" s="88" t="s">
        <v>380</v>
      </c>
      <c r="I4" s="617"/>
      <c r="J4" s="241"/>
      <c r="K4" s="241"/>
      <c r="L4" s="241"/>
    </row>
    <row r="5" spans="1:14" s="53" customFormat="1" ht="7.9" customHeight="1" x14ac:dyDescent="0.15">
      <c r="A5" s="287"/>
      <c r="B5" s="174"/>
      <c r="C5" s="65"/>
      <c r="D5" s="65"/>
      <c r="E5" s="65"/>
      <c r="F5" s="65"/>
      <c r="G5" s="13"/>
      <c r="H5" s="66"/>
      <c r="I5" s="617"/>
      <c r="J5" s="241"/>
      <c r="K5" s="241"/>
      <c r="L5" s="241"/>
    </row>
    <row r="6" spans="1:14" s="53" customFormat="1" ht="7.9" customHeight="1" x14ac:dyDescent="0.15">
      <c r="A6" s="932" t="s">
        <v>909</v>
      </c>
      <c r="B6" s="932"/>
      <c r="C6" s="932"/>
      <c r="D6" s="932"/>
      <c r="E6" s="932"/>
      <c r="F6" s="932"/>
      <c r="G6" s="932"/>
      <c r="H6" s="932"/>
      <c r="I6" s="617"/>
      <c r="J6" s="241"/>
      <c r="K6" s="241"/>
      <c r="L6" s="241"/>
    </row>
    <row r="7" spans="1:14" s="53" customFormat="1" ht="7.9" customHeight="1" x14ac:dyDescent="0.15">
      <c r="A7" s="101" t="s">
        <v>613</v>
      </c>
      <c r="B7" s="421">
        <v>711</v>
      </c>
      <c r="C7" s="421">
        <v>392</v>
      </c>
      <c r="D7" s="421">
        <v>136</v>
      </c>
      <c r="E7" s="421">
        <v>299</v>
      </c>
      <c r="F7" s="421">
        <v>213</v>
      </c>
      <c r="G7" s="424">
        <f>SUM(B7:F7)</f>
        <v>1751</v>
      </c>
      <c r="H7" s="394">
        <v>34118</v>
      </c>
      <c r="I7" s="593"/>
      <c r="J7" s="173"/>
      <c r="K7" s="173"/>
      <c r="L7" s="173"/>
      <c r="M7" s="65"/>
      <c r="N7" s="593"/>
    </row>
    <row r="8" spans="1:14" s="53" customFormat="1" ht="7.9" customHeight="1" x14ac:dyDescent="0.15">
      <c r="A8" s="65" t="s">
        <v>631</v>
      </c>
      <c r="B8" s="421">
        <v>24</v>
      </c>
      <c r="C8" s="421">
        <v>12</v>
      </c>
      <c r="D8" s="421">
        <v>5</v>
      </c>
      <c r="E8" s="421">
        <v>8</v>
      </c>
      <c r="F8" s="421">
        <v>4</v>
      </c>
      <c r="G8" s="424">
        <f>SUM(B8:F8)</f>
        <v>53</v>
      </c>
      <c r="H8" s="575" t="s">
        <v>239</v>
      </c>
      <c r="I8" s="593"/>
      <c r="J8" s="593"/>
      <c r="K8" s="593"/>
      <c r="L8" s="173"/>
      <c r="M8" s="65"/>
    </row>
    <row r="9" spans="1:14" s="53" customFormat="1" ht="7.9" customHeight="1" x14ac:dyDescent="0.15">
      <c r="A9" s="65" t="s">
        <v>632</v>
      </c>
      <c r="B9" s="421">
        <v>12</v>
      </c>
      <c r="C9" s="421">
        <v>2</v>
      </c>
      <c r="D9" s="421">
        <v>2</v>
      </c>
      <c r="E9" s="421">
        <v>2</v>
      </c>
      <c r="F9" s="421">
        <v>5</v>
      </c>
      <c r="G9" s="424">
        <f>SUM(B9:F9)</f>
        <v>23</v>
      </c>
      <c r="H9" s="575" t="s">
        <v>239</v>
      </c>
      <c r="I9" s="593"/>
      <c r="J9" s="593"/>
      <c r="K9" s="593"/>
      <c r="L9" s="173"/>
      <c r="M9" s="65"/>
    </row>
    <row r="10" spans="1:14" s="53" customFormat="1" ht="7.9" customHeight="1" x14ac:dyDescent="0.15">
      <c r="A10" s="364"/>
      <c r="B10" s="540"/>
      <c r="C10" s="540"/>
      <c r="D10" s="540"/>
      <c r="E10" s="540"/>
      <c r="F10" s="540"/>
      <c r="G10" s="541"/>
      <c r="H10" s="540"/>
      <c r="I10" s="593"/>
      <c r="J10" s="173"/>
      <c r="K10" s="241"/>
      <c r="L10" s="241"/>
    </row>
    <row r="11" spans="1:14" s="53" customFormat="1" ht="7.9" customHeight="1" x14ac:dyDescent="0.15">
      <c r="A11" s="932" t="s">
        <v>852</v>
      </c>
      <c r="B11" s="932"/>
      <c r="C11" s="932"/>
      <c r="D11" s="932"/>
      <c r="E11" s="932"/>
      <c r="F11" s="932"/>
      <c r="G11" s="932"/>
      <c r="H11" s="932"/>
      <c r="I11" s="593"/>
      <c r="J11" s="173"/>
      <c r="K11" s="241"/>
      <c r="L11" s="241"/>
    </row>
    <row r="12" spans="1:14" s="53" customFormat="1" ht="7.9" customHeight="1" x14ac:dyDescent="0.15">
      <c r="A12" s="364" t="s">
        <v>612</v>
      </c>
      <c r="B12" s="633">
        <v>1976</v>
      </c>
      <c r="C12" s="633">
        <v>1543</v>
      </c>
      <c r="D12" s="633">
        <v>380</v>
      </c>
      <c r="E12" s="633">
        <v>475</v>
      </c>
      <c r="F12" s="633">
        <v>785</v>
      </c>
      <c r="G12" s="634">
        <f>SUM(B12:F12)</f>
        <v>5159</v>
      </c>
      <c r="H12" s="575" t="s">
        <v>239</v>
      </c>
      <c r="I12" s="593"/>
      <c r="J12" s="173"/>
      <c r="K12" s="691"/>
      <c r="L12" s="241"/>
    </row>
    <row r="13" spans="1:14" s="53" customFormat="1" ht="7.9" customHeight="1" x14ac:dyDescent="0.15">
      <c r="A13" s="364" t="s">
        <v>614</v>
      </c>
      <c r="B13" s="633">
        <v>3098</v>
      </c>
      <c r="C13" s="633">
        <v>2324</v>
      </c>
      <c r="D13" s="633">
        <v>603</v>
      </c>
      <c r="E13" s="633" t="s">
        <v>239</v>
      </c>
      <c r="F13" s="633">
        <v>785</v>
      </c>
      <c r="G13" s="634" t="s">
        <v>239</v>
      </c>
      <c r="H13" s="575" t="s">
        <v>239</v>
      </c>
      <c r="I13" s="593"/>
      <c r="J13" s="173"/>
      <c r="K13" s="691"/>
      <c r="L13" s="241"/>
    </row>
    <row r="14" spans="1:14" s="53" customFormat="1" ht="7.9" customHeight="1" x14ac:dyDescent="0.15">
      <c r="A14" s="364" t="s">
        <v>922</v>
      </c>
      <c r="B14" s="868">
        <v>226.52937378954164</v>
      </c>
      <c r="C14" s="868">
        <v>171.53915662650601</v>
      </c>
      <c r="D14" s="868" t="s">
        <v>239</v>
      </c>
      <c r="E14" s="868" t="s">
        <v>239</v>
      </c>
      <c r="F14" s="868">
        <v>88.942675159235662</v>
      </c>
      <c r="G14" s="869" t="s">
        <v>239</v>
      </c>
      <c r="H14" s="870" t="s">
        <v>239</v>
      </c>
      <c r="I14" s="593"/>
      <c r="J14" s="173"/>
      <c r="K14" s="691"/>
      <c r="L14" s="241"/>
    </row>
    <row r="15" spans="1:14" s="53" customFormat="1" ht="7.9" customHeight="1" x14ac:dyDescent="0.15">
      <c r="J15" s="173"/>
      <c r="K15" s="691"/>
      <c r="L15" s="241"/>
    </row>
    <row r="16" spans="1:14" s="53" customFormat="1" ht="7.9" customHeight="1" x14ac:dyDescent="0.15">
      <c r="A16" s="932" t="s">
        <v>611</v>
      </c>
      <c r="B16" s="932"/>
      <c r="C16" s="932"/>
      <c r="D16" s="932"/>
      <c r="E16" s="932"/>
      <c r="F16" s="932"/>
      <c r="G16" s="932"/>
      <c r="H16" s="932"/>
      <c r="I16" s="593"/>
      <c r="J16" s="173"/>
      <c r="K16" s="241"/>
      <c r="L16" s="241"/>
    </row>
    <row r="17" spans="1:12" s="53" customFormat="1" ht="7.9" customHeight="1" x14ac:dyDescent="0.15">
      <c r="A17" s="364" t="s">
        <v>851</v>
      </c>
      <c r="B17" s="633" t="s">
        <v>239</v>
      </c>
      <c r="C17" s="633" t="s">
        <v>239</v>
      </c>
      <c r="D17" s="633" t="s">
        <v>239</v>
      </c>
      <c r="E17" s="633" t="s">
        <v>239</v>
      </c>
      <c r="F17" s="633" t="s">
        <v>239</v>
      </c>
      <c r="G17" s="424">
        <v>22532</v>
      </c>
      <c r="H17" s="394">
        <v>455426</v>
      </c>
      <c r="I17" s="593"/>
      <c r="J17" s="173"/>
      <c r="K17" s="241"/>
      <c r="L17" s="241"/>
    </row>
    <row r="18" spans="1:12" s="53" customFormat="1" ht="7.9" customHeight="1" x14ac:dyDescent="0.15">
      <c r="A18" s="364" t="s">
        <v>850</v>
      </c>
      <c r="B18" s="635">
        <v>5.2</v>
      </c>
      <c r="C18" s="635">
        <v>4.9000000000000004</v>
      </c>
      <c r="D18" s="635">
        <v>5.5</v>
      </c>
      <c r="E18" s="635">
        <v>5.7</v>
      </c>
      <c r="F18" s="635">
        <v>5.8</v>
      </c>
      <c r="G18" s="636">
        <v>5.3</v>
      </c>
      <c r="H18" s="664">
        <v>6.1</v>
      </c>
      <c r="I18" s="593"/>
      <c r="J18" s="173"/>
      <c r="K18" s="241"/>
      <c r="L18" s="241"/>
    </row>
    <row r="19" spans="1:12" s="53" customFormat="1" ht="7.9" customHeight="1" x14ac:dyDescent="0.15">
      <c r="A19" s="364"/>
      <c r="B19" s="635"/>
      <c r="C19" s="635"/>
      <c r="D19" s="635"/>
      <c r="E19" s="635"/>
      <c r="F19" s="635"/>
      <c r="G19" s="636"/>
      <c r="H19" s="664"/>
      <c r="I19" s="593"/>
      <c r="J19" s="173"/>
      <c r="K19" s="241"/>
      <c r="L19" s="241"/>
    </row>
    <row r="20" spans="1:12" s="53" customFormat="1" ht="7.9" customHeight="1" x14ac:dyDescent="0.15">
      <c r="A20" s="932" t="s">
        <v>853</v>
      </c>
      <c r="B20" s="979">
        <f>B21+B22</f>
        <v>236</v>
      </c>
      <c r="C20" s="979">
        <f t="shared" ref="C20:F20" si="0">C21+C22</f>
        <v>147</v>
      </c>
      <c r="D20" s="979">
        <f t="shared" si="0"/>
        <v>27</v>
      </c>
      <c r="E20" s="979">
        <f t="shared" si="0"/>
        <v>89</v>
      </c>
      <c r="F20" s="979">
        <f t="shared" si="0"/>
        <v>85</v>
      </c>
      <c r="G20" s="941">
        <f t="shared" ref="G20" si="1">SUM(G21:G22)</f>
        <v>584</v>
      </c>
      <c r="H20" s="925">
        <f>H21+H22</f>
        <v>7532</v>
      </c>
      <c r="I20" s="704"/>
      <c r="J20" s="173"/>
      <c r="K20" s="241"/>
      <c r="L20" s="241"/>
    </row>
    <row r="21" spans="1:12" s="53" customFormat="1" ht="7.9" customHeight="1" x14ac:dyDescent="0.15">
      <c r="A21" s="364" t="s">
        <v>637</v>
      </c>
      <c r="B21" s="396">
        <v>78</v>
      </c>
      <c r="C21" s="396">
        <v>28</v>
      </c>
      <c r="D21" s="396">
        <v>2</v>
      </c>
      <c r="E21" s="396">
        <v>16</v>
      </c>
      <c r="F21" s="396">
        <v>15</v>
      </c>
      <c r="G21" s="397">
        <f>SUM(B21:F21)</f>
        <v>139</v>
      </c>
      <c r="H21" s="402">
        <v>2295</v>
      </c>
      <c r="I21" s="704"/>
      <c r="J21" s="173"/>
      <c r="K21" s="241"/>
      <c r="L21" s="241"/>
    </row>
    <row r="22" spans="1:12" s="53" customFormat="1" ht="7.9" customHeight="1" x14ac:dyDescent="0.15">
      <c r="A22" s="364" t="s">
        <v>638</v>
      </c>
      <c r="B22" s="396">
        <v>158</v>
      </c>
      <c r="C22" s="396">
        <v>119</v>
      </c>
      <c r="D22" s="396">
        <v>25</v>
      </c>
      <c r="E22" s="396">
        <v>73</v>
      </c>
      <c r="F22" s="396">
        <v>70</v>
      </c>
      <c r="G22" s="397">
        <f>SUM(B22:F22)</f>
        <v>445</v>
      </c>
      <c r="H22" s="402">
        <v>5237</v>
      </c>
      <c r="I22" s="704"/>
      <c r="J22" s="173"/>
      <c r="K22" s="241"/>
      <c r="L22" s="241"/>
    </row>
    <row r="23" spans="1:12" s="53" customFormat="1" ht="7.9" customHeight="1" x14ac:dyDescent="0.15">
      <c r="A23" s="364" t="s">
        <v>639</v>
      </c>
      <c r="B23" s="396">
        <v>261</v>
      </c>
      <c r="C23" s="396">
        <v>173</v>
      </c>
      <c r="D23" s="396">
        <v>32</v>
      </c>
      <c r="E23" s="396">
        <v>110</v>
      </c>
      <c r="F23" s="396">
        <v>99</v>
      </c>
      <c r="G23" s="397">
        <f>SUM(B23:F23)</f>
        <v>675</v>
      </c>
      <c r="H23" s="402">
        <v>8677</v>
      </c>
      <c r="I23" s="704"/>
      <c r="J23" s="173"/>
      <c r="K23" s="241"/>
      <c r="L23" s="241"/>
    </row>
    <row r="24" spans="1:12" s="53" customFormat="1" ht="7.9" customHeight="1" thickBot="1" x14ac:dyDescent="0.2">
      <c r="A24" s="1008"/>
      <c r="B24" s="1009"/>
      <c r="C24" s="1009"/>
      <c r="D24" s="1009"/>
      <c r="E24" s="1009"/>
      <c r="F24" s="1009"/>
      <c r="G24" s="1010"/>
      <c r="H24" s="1010"/>
      <c r="I24" s="617"/>
      <c r="J24" s="241"/>
      <c r="K24" s="241"/>
      <c r="L24" s="241"/>
    </row>
    <row r="25" spans="1:12" s="53" customFormat="1" ht="7.9" customHeight="1" thickTop="1" x14ac:dyDescent="0.15">
      <c r="A25" s="61" t="s">
        <v>1029</v>
      </c>
      <c r="B25" s="21"/>
      <c r="C25" s="21"/>
      <c r="D25" s="21"/>
      <c r="E25" s="21"/>
      <c r="F25" s="21"/>
      <c r="G25" s="21"/>
      <c r="H25" s="54"/>
      <c r="I25" s="617"/>
      <c r="J25" s="241"/>
      <c r="K25" s="241"/>
      <c r="L25" s="241"/>
    </row>
    <row r="26" spans="1:12" ht="7.5" customHeight="1" x14ac:dyDescent="0.25">
      <c r="A26" s="134" t="s">
        <v>615</v>
      </c>
    </row>
    <row r="27" spans="1:12" ht="7.5" customHeight="1" x14ac:dyDescent="0.25">
      <c r="A27" s="79" t="s">
        <v>616</v>
      </c>
    </row>
    <row r="28" spans="1:12" ht="7.5" customHeight="1" x14ac:dyDescent="0.25">
      <c r="A28" s="79" t="s">
        <v>847</v>
      </c>
    </row>
    <row r="29" spans="1:12" ht="7.5" customHeight="1" x14ac:dyDescent="0.25">
      <c r="A29" s="79" t="s">
        <v>848</v>
      </c>
    </row>
    <row r="30" spans="1:12" ht="7.5" customHeight="1" x14ac:dyDescent="0.25">
      <c r="A30" s="79" t="s">
        <v>849</v>
      </c>
    </row>
    <row r="31" spans="1:12" ht="8.4499999999999993" customHeight="1" x14ac:dyDescent="0.25">
      <c r="A31" s="717" t="s">
        <v>768</v>
      </c>
    </row>
    <row r="38" spans="17:17" x14ac:dyDescent="0.25">
      <c r="Q38" s="632"/>
    </row>
  </sheetData>
  <mergeCells count="2">
    <mergeCell ref="A1:H1"/>
    <mergeCell ref="A2:H2"/>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dimension ref="A1:L39"/>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9.5703125" style="54" customWidth="1"/>
    <col min="9" max="10" width="4.7109375" style="241" customWidth="1"/>
    <col min="11" max="11" width="27.28515625" style="241" customWidth="1"/>
    <col min="12" max="12" width="11.42578125" style="241" customWidth="1"/>
    <col min="13" max="16384" width="11.42578125" style="53"/>
  </cols>
  <sheetData>
    <row r="1" spans="1:11" ht="15" customHeight="1" x14ac:dyDescent="0.2">
      <c r="A1" s="1018" t="s">
        <v>465</v>
      </c>
      <c r="B1" s="1018"/>
      <c r="C1" s="1018"/>
      <c r="D1" s="1018"/>
      <c r="E1" s="1018"/>
      <c r="F1" s="1018"/>
      <c r="G1" s="1018"/>
      <c r="H1" s="1018"/>
      <c r="I1" s="173"/>
    </row>
    <row r="2" spans="1:11" ht="9.9499999999999993" customHeight="1" x14ac:dyDescent="0.2">
      <c r="A2" s="1022" t="s">
        <v>854</v>
      </c>
      <c r="B2" s="1022"/>
      <c r="C2" s="1022"/>
      <c r="D2" s="1022"/>
      <c r="E2" s="1022"/>
      <c r="F2" s="1022"/>
      <c r="G2" s="1022"/>
      <c r="H2" s="1022"/>
    </row>
    <row r="3" spans="1:11" ht="7.9" customHeight="1" x14ac:dyDescent="0.15">
      <c r="A3" s="56"/>
      <c r="B3" s="57"/>
      <c r="I3" s="173"/>
    </row>
    <row r="4" spans="1:11" ht="20.100000000000001" customHeight="1" x14ac:dyDescent="0.15">
      <c r="A4" s="58"/>
      <c r="B4" s="22" t="s">
        <v>374</v>
      </c>
      <c r="C4" s="22" t="s">
        <v>384</v>
      </c>
      <c r="D4" s="22" t="s">
        <v>376</v>
      </c>
      <c r="E4" s="22" t="s">
        <v>377</v>
      </c>
      <c r="F4" s="22" t="s">
        <v>378</v>
      </c>
      <c r="G4" s="23" t="s">
        <v>385</v>
      </c>
      <c r="H4" s="88" t="s">
        <v>388</v>
      </c>
      <c r="I4" s="173"/>
      <c r="K4" s="173"/>
    </row>
    <row r="5" spans="1:11" ht="7.9" customHeight="1" x14ac:dyDescent="0.15">
      <c r="A5" s="60"/>
      <c r="B5" s="22"/>
      <c r="C5" s="22"/>
      <c r="D5" s="22"/>
      <c r="E5" s="22"/>
      <c r="F5" s="22"/>
      <c r="G5" s="23"/>
      <c r="H5" s="23"/>
      <c r="I5" s="173"/>
    </row>
    <row r="6" spans="1:11" ht="7.9" customHeight="1" x14ac:dyDescent="0.15">
      <c r="A6" s="922" t="s">
        <v>426</v>
      </c>
      <c r="B6" s="930"/>
      <c r="C6" s="930"/>
      <c r="D6" s="930"/>
      <c r="E6" s="930"/>
      <c r="F6" s="930"/>
      <c r="G6" s="930"/>
      <c r="H6" s="930"/>
      <c r="I6" s="271"/>
    </row>
    <row r="7" spans="1:11" ht="7.9" customHeight="1" x14ac:dyDescent="0.15">
      <c r="A7" s="61" t="s">
        <v>302</v>
      </c>
      <c r="B7" s="428">
        <v>1889</v>
      </c>
      <c r="C7" s="428">
        <v>1133</v>
      </c>
      <c r="D7" s="428">
        <v>135</v>
      </c>
      <c r="E7" s="428">
        <v>58</v>
      </c>
      <c r="F7" s="428">
        <v>630</v>
      </c>
      <c r="G7" s="424">
        <v>3845</v>
      </c>
      <c r="H7" s="404">
        <v>81696</v>
      </c>
      <c r="I7" s="173"/>
    </row>
    <row r="8" spans="1:11" ht="7.9" customHeight="1" x14ac:dyDescent="0.15">
      <c r="A8" s="61" t="s">
        <v>303</v>
      </c>
      <c r="B8" s="428">
        <v>727</v>
      </c>
      <c r="C8" s="428">
        <v>463</v>
      </c>
      <c r="D8" s="428">
        <v>64</v>
      </c>
      <c r="E8" s="428">
        <v>221</v>
      </c>
      <c r="F8" s="428">
        <v>141</v>
      </c>
      <c r="G8" s="424">
        <v>1616</v>
      </c>
      <c r="H8" s="404">
        <v>22026</v>
      </c>
      <c r="I8" s="173"/>
    </row>
    <row r="9" spans="1:11" ht="7.9" customHeight="1" x14ac:dyDescent="0.15">
      <c r="A9" s="61" t="s">
        <v>522</v>
      </c>
      <c r="B9" s="428">
        <v>0</v>
      </c>
      <c r="C9" s="428">
        <v>12</v>
      </c>
      <c r="D9" s="428">
        <v>0</v>
      </c>
      <c r="E9" s="428">
        <v>0</v>
      </c>
      <c r="F9" s="428">
        <v>32</v>
      </c>
      <c r="G9" s="424">
        <v>44</v>
      </c>
      <c r="H9" s="404">
        <v>8504</v>
      </c>
      <c r="I9" s="173"/>
    </row>
    <row r="10" spans="1:11" ht="7.9" customHeight="1" x14ac:dyDescent="0.15">
      <c r="A10" s="61" t="s">
        <v>523</v>
      </c>
      <c r="B10" s="428">
        <v>0</v>
      </c>
      <c r="C10" s="428">
        <v>0</v>
      </c>
      <c r="D10" s="428">
        <v>0</v>
      </c>
      <c r="E10" s="428">
        <v>0</v>
      </c>
      <c r="F10" s="428">
        <v>0</v>
      </c>
      <c r="G10" s="424">
        <v>0</v>
      </c>
      <c r="H10" s="404">
        <v>144</v>
      </c>
      <c r="I10" s="617"/>
      <c r="J10" s="173"/>
    </row>
    <row r="11" spans="1:11" ht="7.9" customHeight="1" x14ac:dyDescent="0.15">
      <c r="A11" s="61" t="s">
        <v>304</v>
      </c>
      <c r="B11" s="428">
        <v>4320</v>
      </c>
      <c r="C11" s="428">
        <v>1971</v>
      </c>
      <c r="D11" s="428">
        <v>629</v>
      </c>
      <c r="E11" s="428">
        <v>800</v>
      </c>
      <c r="F11" s="428">
        <v>1045</v>
      </c>
      <c r="G11" s="424">
        <v>8765</v>
      </c>
      <c r="H11" s="404">
        <v>245021</v>
      </c>
      <c r="I11" s="617"/>
      <c r="J11" s="173"/>
    </row>
    <row r="12" spans="1:11" ht="7.9" customHeight="1" x14ac:dyDescent="0.15">
      <c r="A12" s="125" t="s">
        <v>923</v>
      </c>
      <c r="B12" s="341">
        <v>139.42269035941143</v>
      </c>
      <c r="C12" s="341">
        <v>120.2136235388956</v>
      </c>
      <c r="D12" s="341">
        <v>76.236074026332759</v>
      </c>
      <c r="E12" s="341">
        <v>54.068951693726198</v>
      </c>
      <c r="F12" s="341">
        <v>84.720121028744316</v>
      </c>
      <c r="G12" s="135">
        <v>107.98335225122966</v>
      </c>
      <c r="H12" s="341">
        <v>157.23676916497868</v>
      </c>
      <c r="I12" s="173"/>
    </row>
    <row r="13" spans="1:11" ht="7.9" customHeight="1" x14ac:dyDescent="0.15">
      <c r="A13" s="125"/>
      <c r="B13" s="135"/>
      <c r="C13" s="135"/>
      <c r="D13" s="135"/>
      <c r="E13" s="135"/>
      <c r="F13" s="135"/>
      <c r="G13" s="135"/>
      <c r="H13" s="135"/>
      <c r="I13" s="271"/>
    </row>
    <row r="14" spans="1:11" ht="7.9" customHeight="1" x14ac:dyDescent="0.15">
      <c r="A14" s="922" t="s">
        <v>524</v>
      </c>
      <c r="B14" s="930"/>
      <c r="C14" s="930"/>
      <c r="D14" s="930"/>
      <c r="E14" s="930"/>
      <c r="F14" s="930"/>
      <c r="G14" s="930"/>
      <c r="H14" s="930"/>
      <c r="I14" s="173"/>
    </row>
    <row r="15" spans="1:11" customFormat="1" ht="7.9" customHeight="1" x14ac:dyDescent="0.25">
      <c r="A15" s="61" t="s">
        <v>525</v>
      </c>
      <c r="B15" s="428">
        <v>529</v>
      </c>
      <c r="C15" s="428">
        <v>308</v>
      </c>
      <c r="D15" s="428">
        <v>12</v>
      </c>
      <c r="E15" s="428">
        <v>296</v>
      </c>
      <c r="F15" s="428">
        <v>165</v>
      </c>
      <c r="G15" s="424">
        <v>1310</v>
      </c>
      <c r="H15" s="428">
        <v>52731</v>
      </c>
      <c r="I15" s="173"/>
      <c r="J15" s="241"/>
    </row>
    <row r="16" spans="1:11" customFormat="1" ht="7.9" customHeight="1" x14ac:dyDescent="0.25">
      <c r="A16" s="61" t="s">
        <v>526</v>
      </c>
      <c r="B16" s="428">
        <v>779.96774795758506</v>
      </c>
      <c r="C16" s="428">
        <v>442.67441166507774</v>
      </c>
      <c r="D16" s="428">
        <v>13</v>
      </c>
      <c r="E16" s="428">
        <v>495</v>
      </c>
      <c r="F16" s="428">
        <v>237.14700624914877</v>
      </c>
      <c r="G16" s="424">
        <v>1967.7891658718115</v>
      </c>
      <c r="H16" s="428">
        <v>77107.052073550512</v>
      </c>
      <c r="I16" s="173"/>
      <c r="J16" s="241"/>
    </row>
    <row r="17" spans="1:11" ht="7.9" customHeight="1" x14ac:dyDescent="0.15">
      <c r="A17" s="61"/>
      <c r="B17" s="173"/>
      <c r="C17" s="173"/>
      <c r="D17" s="173"/>
      <c r="E17" s="173"/>
      <c r="F17" s="173"/>
      <c r="G17" s="195"/>
      <c r="H17" s="173"/>
      <c r="I17" s="173"/>
    </row>
    <row r="18" spans="1:11" ht="7.9" customHeight="1" x14ac:dyDescent="0.15">
      <c r="A18" s="922" t="s">
        <v>855</v>
      </c>
      <c r="B18" s="930"/>
      <c r="C18" s="930"/>
      <c r="D18" s="930"/>
      <c r="E18" s="930"/>
      <c r="F18" s="930"/>
      <c r="G18" s="930"/>
      <c r="H18" s="930"/>
      <c r="I18" s="173"/>
    </row>
    <row r="19" spans="1:11" ht="7.9" customHeight="1" x14ac:dyDescent="0.15">
      <c r="A19" s="13" t="s">
        <v>359</v>
      </c>
      <c r="B19" s="429">
        <v>10773</v>
      </c>
      <c r="C19" s="429">
        <v>6207</v>
      </c>
      <c r="D19" s="429">
        <v>2373</v>
      </c>
      <c r="E19" s="429">
        <v>4705</v>
      </c>
      <c r="F19" s="429">
        <v>5344</v>
      </c>
      <c r="G19" s="424">
        <v>29402</v>
      </c>
      <c r="H19" s="394">
        <v>318307</v>
      </c>
      <c r="I19" s="173"/>
      <c r="K19" s="173"/>
    </row>
    <row r="20" spans="1:11" ht="7.9" customHeight="1" x14ac:dyDescent="0.15">
      <c r="A20" s="61" t="s">
        <v>305</v>
      </c>
      <c r="B20" s="584">
        <v>1904</v>
      </c>
      <c r="C20" s="584">
        <v>688</v>
      </c>
      <c r="D20" s="584">
        <v>176</v>
      </c>
      <c r="E20" s="584">
        <v>323</v>
      </c>
      <c r="F20" s="584">
        <v>382</v>
      </c>
      <c r="G20" s="424">
        <v>3473</v>
      </c>
      <c r="H20" s="441">
        <v>71784</v>
      </c>
      <c r="I20" s="173"/>
    </row>
    <row r="21" spans="1:11" ht="7.9" customHeight="1" thickBot="1" x14ac:dyDescent="0.2">
      <c r="A21" s="1008"/>
      <c r="B21" s="1009"/>
      <c r="C21" s="1009"/>
      <c r="D21" s="1009"/>
      <c r="E21" s="1009"/>
      <c r="F21" s="1009"/>
      <c r="G21" s="1010"/>
      <c r="H21" s="1010"/>
      <c r="I21" s="247"/>
    </row>
    <row r="22" spans="1:11" ht="7.9" customHeight="1" thickTop="1" x14ac:dyDescent="0.15">
      <c r="A22" s="18" t="s">
        <v>705</v>
      </c>
      <c r="I22" s="247"/>
    </row>
    <row r="23" spans="1:11" ht="7.9" customHeight="1" x14ac:dyDescent="0.15">
      <c r="A23" s="285" t="s">
        <v>924</v>
      </c>
      <c r="I23" s="247"/>
    </row>
    <row r="24" spans="1:11" ht="7.9" customHeight="1" x14ac:dyDescent="0.15">
      <c r="A24" s="61"/>
      <c r="I24" s="246"/>
    </row>
    <row r="25" spans="1:11" ht="7.9" customHeight="1" x14ac:dyDescent="0.15"/>
    <row r="26" spans="1:11" ht="7.9" customHeight="1" x14ac:dyDescent="0.15"/>
    <row r="27" spans="1:11" ht="7.9" customHeight="1" x14ac:dyDescent="0.15"/>
    <row r="28" spans="1:11" ht="7.9" customHeight="1" x14ac:dyDescent="0.15"/>
    <row r="29" spans="1:11" ht="7.9" customHeight="1" x14ac:dyDescent="0.15"/>
    <row r="30" spans="1:11" ht="7.9" customHeight="1" x14ac:dyDescent="0.15"/>
    <row r="31" spans="1:11" ht="7.9" customHeight="1" x14ac:dyDescent="0.15"/>
    <row r="32" spans="1:11" ht="7.9" customHeight="1" x14ac:dyDescent="0.15"/>
    <row r="33" ht="7.9" customHeight="1" x14ac:dyDescent="0.15"/>
    <row r="34" ht="7.9" customHeight="1" x14ac:dyDescent="0.15"/>
    <row r="35" ht="7.9" customHeight="1" x14ac:dyDescent="0.15"/>
    <row r="36" ht="7.9" customHeight="1" x14ac:dyDescent="0.15"/>
    <row r="37" ht="7.9" customHeight="1" x14ac:dyDescent="0.15"/>
    <row r="38" ht="7.9" customHeight="1" x14ac:dyDescent="0.15"/>
    <row r="39"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dimension ref="A1:L39"/>
  <sheetViews>
    <sheetView zoomScale="140" zoomScaleNormal="140" workbookViewId="0">
      <selection sqref="A1:H1"/>
    </sheetView>
  </sheetViews>
  <sheetFormatPr baseColWidth="10" defaultRowHeight="9.9499999999999993" customHeight="1" x14ac:dyDescent="0.15"/>
  <cols>
    <col min="1" max="1" width="38.28515625" style="53" customWidth="1"/>
    <col min="2" max="6" width="6.7109375" style="53" customWidth="1"/>
    <col min="7" max="7" width="6.85546875" style="53" customWidth="1"/>
    <col min="8" max="8" width="10" style="54" customWidth="1"/>
    <col min="9" max="10" width="4.7109375" style="241" customWidth="1"/>
    <col min="11" max="11" width="27.28515625" style="241" customWidth="1"/>
    <col min="12" max="12" width="11.42578125" style="241" customWidth="1"/>
    <col min="13" max="16384" width="11.42578125" style="53"/>
  </cols>
  <sheetData>
    <row r="1" spans="1:12" ht="15" customHeight="1" x14ac:dyDescent="0.2">
      <c r="A1" s="1018" t="s">
        <v>617</v>
      </c>
      <c r="B1" s="1018"/>
      <c r="C1" s="1018"/>
      <c r="D1" s="1018"/>
      <c r="E1" s="1018"/>
      <c r="F1" s="1018"/>
      <c r="G1" s="1018"/>
      <c r="H1" s="1018"/>
      <c r="I1" s="173"/>
      <c r="J1" s="173"/>
      <c r="K1" s="173"/>
      <c r="L1" s="173"/>
    </row>
    <row r="2" spans="1:12" ht="9.9499999999999993" customHeight="1" x14ac:dyDescent="0.2">
      <c r="A2" s="1022" t="s">
        <v>910</v>
      </c>
      <c r="B2" s="1022"/>
      <c r="C2" s="1022"/>
      <c r="D2" s="1022"/>
      <c r="E2" s="1022"/>
      <c r="F2" s="1022"/>
      <c r="G2" s="1022"/>
      <c r="H2" s="1022"/>
      <c r="I2" s="173"/>
      <c r="J2" s="173"/>
      <c r="K2" s="173"/>
      <c r="L2" s="173"/>
    </row>
    <row r="3" spans="1:12" ht="7.9" customHeight="1" x14ac:dyDescent="0.15">
      <c r="A3" s="56"/>
      <c r="B3" s="57"/>
      <c r="I3" s="173"/>
      <c r="J3" s="173"/>
      <c r="K3" s="173"/>
      <c r="L3" s="173"/>
    </row>
    <row r="4" spans="1:12" ht="20.100000000000001" customHeight="1" x14ac:dyDescent="0.15">
      <c r="A4" s="58"/>
      <c r="B4" s="22" t="s">
        <v>374</v>
      </c>
      <c r="C4" s="22" t="s">
        <v>384</v>
      </c>
      <c r="D4" s="22" t="s">
        <v>376</v>
      </c>
      <c r="E4" s="22" t="s">
        <v>377</v>
      </c>
      <c r="F4" s="22" t="s">
        <v>378</v>
      </c>
      <c r="G4" s="23" t="s">
        <v>385</v>
      </c>
      <c r="H4" s="88" t="s">
        <v>388</v>
      </c>
      <c r="I4" s="173"/>
      <c r="J4" s="173"/>
      <c r="K4" s="173"/>
      <c r="L4" s="173"/>
    </row>
    <row r="5" spans="1:12" ht="7.9" customHeight="1" x14ac:dyDescent="0.15">
      <c r="A5" s="60"/>
      <c r="B5" s="84"/>
      <c r="C5" s="22"/>
      <c r="D5" s="22"/>
      <c r="E5" s="22"/>
      <c r="F5" s="22"/>
      <c r="G5" s="23"/>
      <c r="H5" s="23"/>
      <c r="I5" s="173"/>
      <c r="J5" s="173"/>
      <c r="K5" s="173"/>
      <c r="L5" s="173"/>
    </row>
    <row r="6" spans="1:12" s="65" customFormat="1" ht="7.9" customHeight="1" x14ac:dyDescent="0.15">
      <c r="A6" s="922" t="s">
        <v>935</v>
      </c>
      <c r="B6" s="945">
        <v>676</v>
      </c>
      <c r="C6" s="945">
        <v>697</v>
      </c>
      <c r="D6" s="945">
        <v>248</v>
      </c>
      <c r="E6" s="945">
        <v>274</v>
      </c>
      <c r="F6" s="945">
        <v>357</v>
      </c>
      <c r="G6" s="945">
        <f>SUM(B6:F6)</f>
        <v>2252</v>
      </c>
      <c r="H6" s="945">
        <v>35925</v>
      </c>
      <c r="I6" s="295"/>
      <c r="J6" s="173"/>
      <c r="K6" s="173"/>
      <c r="L6" s="173"/>
    </row>
    <row r="7" spans="1:12" ht="7.9" customHeight="1" x14ac:dyDescent="0.15">
      <c r="A7" s="18" t="s">
        <v>969</v>
      </c>
      <c r="B7" s="84">
        <v>655</v>
      </c>
      <c r="C7" s="84">
        <v>695</v>
      </c>
      <c r="D7" s="84">
        <v>248</v>
      </c>
      <c r="E7" s="84">
        <v>273</v>
      </c>
      <c r="F7" s="84">
        <v>342</v>
      </c>
      <c r="G7" s="683">
        <f>SUM(B7:F7)</f>
        <v>2213</v>
      </c>
      <c r="H7" s="84">
        <v>35661</v>
      </c>
      <c r="I7" s="247"/>
      <c r="J7" s="173"/>
      <c r="K7" s="173"/>
      <c r="L7" s="173"/>
    </row>
    <row r="8" spans="1:12" s="65" customFormat="1" ht="7.9" customHeight="1" x14ac:dyDescent="0.15">
      <c r="A8" s="18" t="s">
        <v>968</v>
      </c>
      <c r="B8" s="84">
        <v>34</v>
      </c>
      <c r="C8" s="84">
        <v>17</v>
      </c>
      <c r="D8" s="84">
        <v>1</v>
      </c>
      <c r="E8" s="84">
        <v>2</v>
      </c>
      <c r="F8" s="84">
        <v>28</v>
      </c>
      <c r="G8" s="683">
        <f>SUM(B8:F8)</f>
        <v>82</v>
      </c>
      <c r="H8" s="84">
        <v>597</v>
      </c>
      <c r="I8" s="295"/>
      <c r="J8" s="173"/>
      <c r="K8" s="173"/>
      <c r="L8" s="173"/>
    </row>
    <row r="9" spans="1:12" s="65" customFormat="1" ht="8.1" customHeight="1" x14ac:dyDescent="0.15">
      <c r="A9" s="125" t="s">
        <v>926</v>
      </c>
      <c r="B9" s="874">
        <f t="shared" ref="B9:H9" si="0">B6/B36*10000</f>
        <v>25.655330502138579</v>
      </c>
      <c r="C9" s="874">
        <f t="shared" si="0"/>
        <v>43.493725546479631</v>
      </c>
      <c r="D9" s="874">
        <f t="shared" si="0"/>
        <v>40.067856854350104</v>
      </c>
      <c r="E9" s="874">
        <f t="shared" si="0"/>
        <v>25.065407907495835</v>
      </c>
      <c r="F9" s="874">
        <f t="shared" si="0"/>
        <v>28.818676439722953</v>
      </c>
      <c r="G9" s="875">
        <f t="shared" si="0"/>
        <v>31.328599728448371</v>
      </c>
      <c r="H9" s="874">
        <f t="shared" si="0"/>
        <v>30.517267039210932</v>
      </c>
      <c r="I9" s="295"/>
      <c r="J9" s="173"/>
      <c r="K9" s="173"/>
      <c r="L9" s="173"/>
    </row>
    <row r="10" spans="1:12" s="65" customFormat="1" ht="8.1" customHeight="1" x14ac:dyDescent="0.15">
      <c r="A10" s="125" t="s">
        <v>972</v>
      </c>
      <c r="B10" s="883">
        <f>B6/$G6</f>
        <v>0.30017761989342806</v>
      </c>
      <c r="C10" s="883">
        <f t="shared" ref="C10:G10" si="1">C6/$G6</f>
        <v>0.3095026642984014</v>
      </c>
      <c r="D10" s="883">
        <f t="shared" si="1"/>
        <v>0.11012433392539965</v>
      </c>
      <c r="E10" s="883">
        <f t="shared" si="1"/>
        <v>0.1216696269982238</v>
      </c>
      <c r="F10" s="883">
        <f t="shared" si="1"/>
        <v>0.15852575488454707</v>
      </c>
      <c r="G10" s="883">
        <f t="shared" si="1"/>
        <v>1</v>
      </c>
      <c r="H10" s="874" t="s">
        <v>973</v>
      </c>
      <c r="I10" s="295"/>
      <c r="J10" s="173"/>
      <c r="K10" s="173"/>
      <c r="L10" s="173"/>
    </row>
    <row r="11" spans="1:12" s="65" customFormat="1" ht="7.9" customHeight="1" x14ac:dyDescent="0.15">
      <c r="A11" s="18"/>
      <c r="B11" s="104"/>
      <c r="C11" s="104"/>
      <c r="D11" s="104"/>
      <c r="E11" s="104"/>
      <c r="F11" s="104"/>
      <c r="G11" s="184"/>
      <c r="H11" s="160"/>
      <c r="I11" s="271"/>
      <c r="J11" s="173"/>
      <c r="K11" s="173"/>
      <c r="L11" s="173"/>
    </row>
    <row r="12" spans="1:12" ht="7.9" customHeight="1" x14ac:dyDescent="0.15">
      <c r="A12" s="922" t="s">
        <v>974</v>
      </c>
      <c r="B12" s="945"/>
      <c r="C12" s="945"/>
      <c r="D12" s="945"/>
      <c r="E12" s="945"/>
      <c r="F12" s="945"/>
      <c r="G12" s="945"/>
      <c r="H12" s="945"/>
      <c r="I12" s="295"/>
      <c r="J12" s="173"/>
      <c r="K12" s="173"/>
      <c r="L12" s="173"/>
    </row>
    <row r="13" spans="1:12" ht="7.9" customHeight="1" x14ac:dyDescent="0.15">
      <c r="A13" s="18" t="s">
        <v>927</v>
      </c>
      <c r="B13" s="84">
        <v>455</v>
      </c>
      <c r="C13" s="84">
        <v>603</v>
      </c>
      <c r="D13" s="84">
        <v>174</v>
      </c>
      <c r="E13" s="84">
        <v>167</v>
      </c>
      <c r="F13" s="84">
        <v>240</v>
      </c>
      <c r="G13" s="683">
        <f>SUM(B13:F13)</f>
        <v>1639</v>
      </c>
      <c r="H13" s="84">
        <v>27886</v>
      </c>
      <c r="I13" s="295"/>
      <c r="J13" s="173"/>
      <c r="K13" s="173"/>
      <c r="L13" s="173"/>
    </row>
    <row r="14" spans="1:12" ht="7.9" customHeight="1" x14ac:dyDescent="0.15">
      <c r="A14" s="125" t="s">
        <v>928</v>
      </c>
      <c r="B14" s="874">
        <f t="shared" ref="B14:H14" si="2">B37/B13</f>
        <v>137.76483516483518</v>
      </c>
      <c r="C14" s="874">
        <f t="shared" si="2"/>
        <v>94.711442786069654</v>
      </c>
      <c r="D14" s="874">
        <f t="shared" si="2"/>
        <v>101.88505747126437</v>
      </c>
      <c r="E14" s="874">
        <f t="shared" si="2"/>
        <v>119.05988023952096</v>
      </c>
      <c r="F14" s="874">
        <f t="shared" si="2"/>
        <v>95.120833333333337</v>
      </c>
      <c r="G14" s="875">
        <f t="shared" si="2"/>
        <v>109.96583282489323</v>
      </c>
      <c r="H14" s="874">
        <f t="shared" si="2"/>
        <v>104.93706519400416</v>
      </c>
      <c r="I14" s="295"/>
      <c r="J14" s="173"/>
      <c r="K14" s="173"/>
      <c r="L14" s="173"/>
    </row>
    <row r="15" spans="1:12" ht="7.9" customHeight="1" x14ac:dyDescent="0.15">
      <c r="A15" s="18"/>
      <c r="B15" s="84"/>
      <c r="C15" s="84"/>
      <c r="D15" s="84"/>
      <c r="E15" s="84"/>
      <c r="F15" s="84"/>
      <c r="G15" s="683"/>
      <c r="H15" s="84"/>
      <c r="I15" s="295"/>
      <c r="J15" s="173"/>
      <c r="K15" s="173"/>
      <c r="L15" s="173"/>
    </row>
    <row r="16" spans="1:12" ht="7.9" customHeight="1" x14ac:dyDescent="0.15">
      <c r="A16" s="922" t="s">
        <v>970</v>
      </c>
      <c r="B16" s="945"/>
      <c r="C16" s="945"/>
      <c r="D16" s="945"/>
      <c r="E16" s="945"/>
      <c r="F16" s="945"/>
      <c r="G16" s="945"/>
      <c r="H16" s="945"/>
      <c r="I16" s="295"/>
      <c r="J16" s="173"/>
      <c r="K16" s="173"/>
      <c r="L16" s="173"/>
    </row>
    <row r="17" spans="1:12" ht="7.9" customHeight="1" x14ac:dyDescent="0.15">
      <c r="A17" s="18" t="s">
        <v>927</v>
      </c>
      <c r="B17" s="84">
        <v>369</v>
      </c>
      <c r="C17" s="84">
        <v>287</v>
      </c>
      <c r="D17" s="84">
        <v>131</v>
      </c>
      <c r="E17" s="84">
        <v>150</v>
      </c>
      <c r="F17" s="84">
        <v>227</v>
      </c>
      <c r="G17" s="683">
        <f>SUM(B17:F17)</f>
        <v>1164</v>
      </c>
      <c r="H17" s="84">
        <v>17831</v>
      </c>
      <c r="I17" s="173"/>
      <c r="J17" s="173"/>
      <c r="K17" s="173"/>
      <c r="L17" s="173"/>
    </row>
    <row r="18" spans="1:12" ht="7.9" customHeight="1" x14ac:dyDescent="0.15">
      <c r="A18" s="125" t="s">
        <v>928</v>
      </c>
      <c r="B18" s="874">
        <f t="shared" ref="B18:H18" si="3">B38/B17</f>
        <v>64.322493224932245</v>
      </c>
      <c r="C18" s="874">
        <f t="shared" si="3"/>
        <v>54.864111498257842</v>
      </c>
      <c r="D18" s="874">
        <f t="shared" si="3"/>
        <v>63.206106870229007</v>
      </c>
      <c r="E18" s="874">
        <f t="shared" si="3"/>
        <v>63.113333333333337</v>
      </c>
      <c r="F18" s="874">
        <f t="shared" si="3"/>
        <v>60.634361233480178</v>
      </c>
      <c r="G18" s="875">
        <f t="shared" si="3"/>
        <v>60.989690721649481</v>
      </c>
      <c r="H18" s="874">
        <f t="shared" si="3"/>
        <v>66.007122427233469</v>
      </c>
      <c r="I18" s="247"/>
      <c r="J18" s="173"/>
      <c r="K18" s="173"/>
      <c r="L18" s="173"/>
    </row>
    <row r="19" spans="1:12" s="65" customFormat="1" ht="7.9" customHeight="1" x14ac:dyDescent="0.15">
      <c r="A19" s="18"/>
      <c r="B19" s="84"/>
      <c r="C19" s="84"/>
      <c r="D19" s="84"/>
      <c r="E19" s="84"/>
      <c r="F19" s="84"/>
      <c r="G19" s="683"/>
      <c r="H19" s="84"/>
      <c r="I19" s="173"/>
      <c r="J19" s="173"/>
      <c r="K19" s="173"/>
      <c r="L19" s="173"/>
    </row>
    <row r="20" spans="1:12" ht="7.9" customHeight="1" x14ac:dyDescent="0.15">
      <c r="A20" s="922" t="s">
        <v>971</v>
      </c>
      <c r="B20" s="945"/>
      <c r="C20" s="945"/>
      <c r="D20" s="945"/>
      <c r="E20" s="945"/>
      <c r="F20" s="945"/>
      <c r="G20" s="945"/>
      <c r="H20" s="945"/>
      <c r="I20" s="295"/>
      <c r="J20" s="173"/>
      <c r="K20" s="173"/>
      <c r="L20" s="173"/>
    </row>
    <row r="21" spans="1:12" ht="7.9" customHeight="1" x14ac:dyDescent="0.15">
      <c r="A21" s="18" t="s">
        <v>927</v>
      </c>
      <c r="B21" s="84">
        <v>353</v>
      </c>
      <c r="C21" s="84">
        <v>262</v>
      </c>
      <c r="D21" s="84">
        <v>123</v>
      </c>
      <c r="E21" s="84">
        <v>124</v>
      </c>
      <c r="F21" s="84">
        <v>224</v>
      </c>
      <c r="G21" s="683">
        <f>SUM(B21:F21)</f>
        <v>1086</v>
      </c>
      <c r="H21" s="84">
        <v>16095</v>
      </c>
      <c r="I21" s="295"/>
      <c r="J21" s="173"/>
      <c r="K21" s="173"/>
      <c r="L21" s="173"/>
    </row>
    <row r="22" spans="1:12" ht="7.9" customHeight="1" x14ac:dyDescent="0.15">
      <c r="A22" s="125" t="s">
        <v>928</v>
      </c>
      <c r="B22" s="876">
        <f t="shared" ref="B22:H22" si="4">B39/B21</f>
        <v>53.864022662889518</v>
      </c>
      <c r="C22" s="876">
        <f t="shared" si="4"/>
        <v>43.492366412213741</v>
      </c>
      <c r="D22" s="876">
        <f t="shared" si="4"/>
        <v>44.032520325203251</v>
      </c>
      <c r="E22" s="876">
        <f t="shared" si="4"/>
        <v>47.193548387096776</v>
      </c>
      <c r="F22" s="876">
        <f t="shared" si="4"/>
        <v>43.986607142857146</v>
      </c>
      <c r="G22" s="877">
        <f t="shared" si="4"/>
        <v>47.449355432780848</v>
      </c>
      <c r="H22" s="876">
        <f t="shared" si="4"/>
        <v>51.900652376514444</v>
      </c>
      <c r="I22" s="295"/>
      <c r="J22" s="173"/>
      <c r="K22" s="173"/>
      <c r="L22" s="173"/>
    </row>
    <row r="23" spans="1:12" ht="7.9" customHeight="1" thickBot="1" x14ac:dyDescent="0.2">
      <c r="A23" s="1008"/>
      <c r="B23" s="1009"/>
      <c r="C23" s="1009"/>
      <c r="D23" s="1009"/>
      <c r="E23" s="1009"/>
      <c r="F23" s="1009"/>
      <c r="G23" s="1010"/>
      <c r="H23" s="1010"/>
    </row>
    <row r="24" spans="1:12" ht="7.9" customHeight="1" thickTop="1" x14ac:dyDescent="0.15">
      <c r="A24" s="101" t="s">
        <v>983</v>
      </c>
    </row>
    <row r="25" spans="1:12" ht="7.9" customHeight="1" x14ac:dyDescent="0.15">
      <c r="A25" s="101" t="s">
        <v>932</v>
      </c>
    </row>
    <row r="26" spans="1:12" ht="7.9" customHeight="1" x14ac:dyDescent="0.15">
      <c r="A26" s="53" t="s">
        <v>933</v>
      </c>
    </row>
    <row r="27" spans="1:12" ht="7.9" customHeight="1" x14ac:dyDescent="0.15">
      <c r="A27" s="55" t="s">
        <v>934</v>
      </c>
    </row>
    <row r="28" spans="1:12" ht="7.9" customHeight="1" x14ac:dyDescent="0.15">
      <c r="A28" s="53" t="s">
        <v>975</v>
      </c>
    </row>
    <row r="29" spans="1:12" ht="7.9" customHeight="1" x14ac:dyDescent="0.15"/>
    <row r="30" spans="1:12" ht="7.9" customHeight="1" x14ac:dyDescent="0.15"/>
    <row r="31" spans="1:12" ht="7.9" customHeight="1" x14ac:dyDescent="0.15"/>
    <row r="36" spans="1:12" ht="9.9499999999999993" customHeight="1" x14ac:dyDescent="0.15">
      <c r="A36" s="871" t="s">
        <v>925</v>
      </c>
      <c r="B36" s="872">
        <v>263493</v>
      </c>
      <c r="C36" s="872">
        <v>160253</v>
      </c>
      <c r="D36" s="872">
        <v>61895</v>
      </c>
      <c r="E36" s="872">
        <v>109314</v>
      </c>
      <c r="F36" s="872">
        <v>123878</v>
      </c>
      <c r="G36" s="872">
        <v>718832</v>
      </c>
      <c r="H36" s="873">
        <v>11772024</v>
      </c>
    </row>
    <row r="37" spans="1:12" ht="9.9499999999999993" customHeight="1" x14ac:dyDescent="0.15">
      <c r="A37" s="871" t="s">
        <v>929</v>
      </c>
      <c r="B37" s="872">
        <v>62683</v>
      </c>
      <c r="C37" s="872">
        <v>57111</v>
      </c>
      <c r="D37" s="872">
        <v>17728</v>
      </c>
      <c r="E37" s="872">
        <v>19883</v>
      </c>
      <c r="F37" s="872">
        <v>22829</v>
      </c>
      <c r="G37" s="872">
        <f>SUM(B37:F37)</f>
        <v>180234</v>
      </c>
      <c r="H37" s="873">
        <v>2926275</v>
      </c>
    </row>
    <row r="38" spans="1:12" s="51" customFormat="1" ht="9.9499999999999993" customHeight="1" x14ac:dyDescent="0.15">
      <c r="A38" s="872" t="s">
        <v>930</v>
      </c>
      <c r="B38" s="872">
        <v>23735</v>
      </c>
      <c r="C38" s="872">
        <v>15746</v>
      </c>
      <c r="D38" s="872">
        <v>8280</v>
      </c>
      <c r="E38" s="872">
        <v>9467</v>
      </c>
      <c r="F38" s="872">
        <v>13764</v>
      </c>
      <c r="G38" s="872">
        <f>SUM(B38:F38)</f>
        <v>70992</v>
      </c>
      <c r="H38" s="873">
        <v>1176973</v>
      </c>
      <c r="I38" s="244"/>
      <c r="J38" s="244"/>
      <c r="K38" s="244"/>
      <c r="L38" s="244"/>
    </row>
    <row r="39" spans="1:12" s="51" customFormat="1" ht="9.9499999999999993" customHeight="1" x14ac:dyDescent="0.15">
      <c r="A39" s="872" t="s">
        <v>931</v>
      </c>
      <c r="B39" s="872">
        <v>19014</v>
      </c>
      <c r="C39" s="872">
        <v>11395</v>
      </c>
      <c r="D39" s="872">
        <v>5416</v>
      </c>
      <c r="E39" s="872">
        <v>5852</v>
      </c>
      <c r="F39" s="872">
        <v>9853</v>
      </c>
      <c r="G39" s="872">
        <f>SUM(B39:F39)</f>
        <v>51530</v>
      </c>
      <c r="H39" s="873">
        <v>835341</v>
      </c>
      <c r="I39" s="244"/>
      <c r="J39" s="244"/>
      <c r="K39" s="244"/>
      <c r="L39" s="244"/>
    </row>
  </sheetData>
  <mergeCells count="2">
    <mergeCell ref="A1:H1"/>
    <mergeCell ref="A2:H2"/>
  </mergeCells>
  <pageMargins left="0.7" right="0.7" top="0.75" bottom="0.75" header="0.3" footer="0.3"/>
  <pageSetup paperSize="9" scale="98" orientation="portrait" verticalDpi="0" r:id="rId1"/>
  <colBreaks count="1" manualBreakCount="1">
    <brk id="8" max="1048575" man="1"/>
  </colBreaks>
  <ignoredErrors>
    <ignoredError sqref="G14" formula="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dimension ref="A1:L37"/>
  <sheetViews>
    <sheetView zoomScale="140" zoomScaleNormal="140" workbookViewId="0">
      <selection sqref="A1:H1"/>
    </sheetView>
  </sheetViews>
  <sheetFormatPr baseColWidth="10" defaultRowHeight="9.9499999999999993" customHeight="1" x14ac:dyDescent="0.15"/>
  <cols>
    <col min="1" max="1" width="25" style="53" customWidth="1"/>
    <col min="2" max="6" width="6.7109375" style="53" customWidth="1"/>
    <col min="7" max="7" width="6.85546875" style="53" customWidth="1"/>
    <col min="8" max="8" width="10" style="54" customWidth="1"/>
    <col min="9" max="10" width="4.7109375" style="241" customWidth="1"/>
    <col min="11" max="11" width="27.28515625" style="241" customWidth="1"/>
    <col min="12" max="12" width="11.42578125" style="241" customWidth="1"/>
    <col min="13" max="16384" width="11.42578125" style="53"/>
  </cols>
  <sheetData>
    <row r="1" spans="1:12" ht="15" customHeight="1" x14ac:dyDescent="0.2">
      <c r="A1" s="1018" t="s">
        <v>758</v>
      </c>
      <c r="B1" s="1018"/>
      <c r="C1" s="1018"/>
      <c r="D1" s="1018"/>
      <c r="E1" s="1018"/>
      <c r="F1" s="1018"/>
      <c r="G1" s="1018"/>
      <c r="H1" s="1018"/>
      <c r="I1" s="173"/>
      <c r="J1" s="173"/>
      <c r="K1" s="173"/>
      <c r="L1" s="173"/>
    </row>
    <row r="2" spans="1:12" ht="9.9499999999999993" customHeight="1" x14ac:dyDescent="0.2">
      <c r="A2" s="1022" t="s">
        <v>911</v>
      </c>
      <c r="B2" s="1022"/>
      <c r="C2" s="1022"/>
      <c r="D2" s="1022"/>
      <c r="E2" s="1022"/>
      <c r="F2" s="1022"/>
      <c r="G2" s="1022"/>
      <c r="H2" s="1022"/>
      <c r="I2" s="173"/>
      <c r="J2" s="173"/>
      <c r="K2" s="173"/>
      <c r="L2" s="173"/>
    </row>
    <row r="3" spans="1:12" ht="7.9" customHeight="1" x14ac:dyDescent="0.15">
      <c r="A3" s="56"/>
      <c r="B3" s="57"/>
      <c r="I3" s="173"/>
      <c r="J3" s="173"/>
      <c r="K3" s="173"/>
      <c r="L3" s="173"/>
    </row>
    <row r="4" spans="1:12" ht="20.100000000000001" customHeight="1" x14ac:dyDescent="0.15">
      <c r="A4" s="58"/>
      <c r="B4" s="22" t="s">
        <v>374</v>
      </c>
      <c r="C4" s="22" t="s">
        <v>384</v>
      </c>
      <c r="D4" s="22" t="s">
        <v>376</v>
      </c>
      <c r="E4" s="22" t="s">
        <v>377</v>
      </c>
      <c r="F4" s="22" t="s">
        <v>378</v>
      </c>
      <c r="G4" s="23" t="s">
        <v>385</v>
      </c>
      <c r="H4" s="88" t="s">
        <v>388</v>
      </c>
      <c r="I4" s="173"/>
      <c r="J4" s="173"/>
      <c r="K4" s="173"/>
      <c r="L4" s="173"/>
    </row>
    <row r="5" spans="1:12" ht="7.9" customHeight="1" x14ac:dyDescent="0.15">
      <c r="A5" s="60"/>
      <c r="B5" s="22"/>
      <c r="C5" s="22"/>
      <c r="D5" s="22"/>
      <c r="E5" s="22"/>
      <c r="F5" s="22"/>
      <c r="G5" s="23"/>
      <c r="H5" s="23"/>
      <c r="I5" s="173"/>
      <c r="J5" s="173"/>
      <c r="K5" s="173"/>
      <c r="L5" s="173"/>
    </row>
    <row r="6" spans="1:12" ht="7.9" customHeight="1" x14ac:dyDescent="0.15">
      <c r="A6" s="922" t="s">
        <v>755</v>
      </c>
      <c r="B6" s="930"/>
      <c r="C6" s="930"/>
      <c r="D6" s="930"/>
      <c r="E6" s="930"/>
      <c r="F6" s="930"/>
      <c r="G6" s="935"/>
      <c r="H6" s="930"/>
      <c r="I6" s="247"/>
      <c r="J6" s="173"/>
      <c r="K6" s="173"/>
      <c r="L6" s="173"/>
    </row>
    <row r="7" spans="1:12" s="65" customFormat="1" ht="7.9" customHeight="1" x14ac:dyDescent="0.15">
      <c r="A7" s="18" t="s">
        <v>976</v>
      </c>
      <c r="B7" s="104">
        <v>373</v>
      </c>
      <c r="C7" s="104">
        <v>177</v>
      </c>
      <c r="D7" s="104">
        <v>109</v>
      </c>
      <c r="E7" s="104">
        <v>119</v>
      </c>
      <c r="F7" s="104">
        <v>661</v>
      </c>
      <c r="G7" s="184">
        <f>SUM(B7:F7)</f>
        <v>1439</v>
      </c>
      <c r="H7" s="104">
        <v>23901</v>
      </c>
      <c r="I7" s="173"/>
      <c r="J7" s="173"/>
      <c r="K7" s="173"/>
      <c r="L7" s="173"/>
    </row>
    <row r="8" spans="1:12" s="65" customFormat="1" ht="7.9" customHeight="1" x14ac:dyDescent="0.15">
      <c r="A8" s="18" t="s">
        <v>985</v>
      </c>
      <c r="B8" s="104">
        <v>11383</v>
      </c>
      <c r="C8" s="104">
        <v>5076</v>
      </c>
      <c r="D8" s="104">
        <v>3259</v>
      </c>
      <c r="E8" s="104">
        <v>4086</v>
      </c>
      <c r="F8" s="104">
        <v>22395</v>
      </c>
      <c r="G8" s="160">
        <v>46199</v>
      </c>
      <c r="H8" s="104">
        <v>824418</v>
      </c>
      <c r="I8" s="295"/>
      <c r="J8" s="173"/>
      <c r="K8" s="173"/>
      <c r="L8" s="173"/>
    </row>
    <row r="9" spans="1:12" ht="7.5" customHeight="1" x14ac:dyDescent="0.15">
      <c r="A9" s="134" t="s">
        <v>977</v>
      </c>
      <c r="B9" s="876">
        <f>B8/B7</f>
        <v>30.517426273458444</v>
      </c>
      <c r="C9" s="876">
        <f t="shared" ref="C9:H9" si="0">C8/C7</f>
        <v>28.677966101694917</v>
      </c>
      <c r="D9" s="876">
        <f t="shared" si="0"/>
        <v>29.899082568807341</v>
      </c>
      <c r="E9" s="876">
        <f t="shared" si="0"/>
        <v>34.336134453781511</v>
      </c>
      <c r="F9" s="876">
        <f t="shared" si="0"/>
        <v>33.880484114977307</v>
      </c>
      <c r="G9" s="877">
        <f t="shared" si="0"/>
        <v>32.1049339819319</v>
      </c>
      <c r="H9" s="876">
        <f t="shared" si="0"/>
        <v>34.493033764277648</v>
      </c>
      <c r="I9" s="295"/>
      <c r="J9" s="173"/>
      <c r="K9" s="173"/>
      <c r="L9" s="173"/>
    </row>
    <row r="10" spans="1:12" ht="7.9" customHeight="1" x14ac:dyDescent="0.15">
      <c r="A10" s="61"/>
      <c r="B10" s="425"/>
      <c r="C10" s="425"/>
      <c r="D10" s="425"/>
      <c r="E10" s="425"/>
      <c r="F10" s="425"/>
      <c r="G10" s="790"/>
      <c r="H10" s="425"/>
      <c r="I10" s="295"/>
      <c r="J10" s="173"/>
      <c r="K10" s="173"/>
      <c r="L10" s="173"/>
    </row>
    <row r="11" spans="1:12" ht="7.5" customHeight="1" x14ac:dyDescent="0.15">
      <c r="A11" s="922" t="s">
        <v>978</v>
      </c>
      <c r="B11" s="930"/>
      <c r="C11" s="930"/>
      <c r="D11" s="930"/>
      <c r="E11" s="930"/>
      <c r="F11" s="930"/>
      <c r="G11" s="935"/>
      <c r="H11" s="930"/>
      <c r="I11" s="295"/>
      <c r="J11" s="173"/>
      <c r="K11" s="173"/>
      <c r="L11" s="173"/>
    </row>
    <row r="12" spans="1:12" s="65" customFormat="1" ht="7.9" customHeight="1" x14ac:dyDescent="0.15">
      <c r="A12" s="18" t="s">
        <v>976</v>
      </c>
      <c r="B12" s="425">
        <v>58</v>
      </c>
      <c r="C12" s="425">
        <v>37</v>
      </c>
      <c r="D12" s="425">
        <v>14</v>
      </c>
      <c r="E12" s="425">
        <v>27</v>
      </c>
      <c r="F12" s="425">
        <v>82</v>
      </c>
      <c r="G12" s="790">
        <v>218</v>
      </c>
      <c r="H12" s="425">
        <v>3544</v>
      </c>
      <c r="I12" s="295"/>
      <c r="J12" s="173"/>
      <c r="K12" s="173"/>
      <c r="L12" s="173"/>
    </row>
    <row r="13" spans="1:12" s="65" customFormat="1" ht="7.9" customHeight="1" x14ac:dyDescent="0.15">
      <c r="A13" s="18" t="s">
        <v>985</v>
      </c>
      <c r="B13" s="84">
        <v>1054</v>
      </c>
      <c r="C13" s="84">
        <v>773</v>
      </c>
      <c r="D13" s="84">
        <v>441</v>
      </c>
      <c r="E13" s="84">
        <v>593</v>
      </c>
      <c r="F13" s="84">
        <v>1745</v>
      </c>
      <c r="G13" s="426">
        <v>4606</v>
      </c>
      <c r="H13" s="394">
        <v>72444</v>
      </c>
      <c r="I13" s="295"/>
      <c r="J13" s="173"/>
      <c r="K13" s="173"/>
      <c r="L13" s="173"/>
    </row>
    <row r="14" spans="1:12" s="65" customFormat="1" ht="7.9" customHeight="1" x14ac:dyDescent="0.15">
      <c r="A14" s="134" t="s">
        <v>977</v>
      </c>
      <c r="B14" s="874">
        <v>18.172413793103448</v>
      </c>
      <c r="C14" s="874">
        <v>20.891891891891891</v>
      </c>
      <c r="D14" s="874">
        <v>31.5</v>
      </c>
      <c r="E14" s="874">
        <v>21.962962962962962</v>
      </c>
      <c r="F14" s="874">
        <v>21.280487804878049</v>
      </c>
      <c r="G14" s="884">
        <v>21.128440366972477</v>
      </c>
      <c r="H14" s="885">
        <v>20.441309255079005</v>
      </c>
      <c r="I14" s="295"/>
      <c r="J14" s="173"/>
      <c r="K14" s="173"/>
      <c r="L14" s="173"/>
    </row>
    <row r="15" spans="1:12" s="65" customFormat="1" ht="7.9" customHeight="1" x14ac:dyDescent="0.15">
      <c r="A15" s="61"/>
      <c r="B15" s="84"/>
      <c r="C15" s="84"/>
      <c r="D15" s="84"/>
      <c r="E15" s="84"/>
      <c r="F15" s="84"/>
      <c r="G15" s="426"/>
      <c r="H15" s="394"/>
      <c r="I15" s="295"/>
      <c r="J15" s="173"/>
      <c r="K15" s="173"/>
      <c r="L15" s="173"/>
    </row>
    <row r="16" spans="1:12" s="65" customFormat="1" ht="7.9" customHeight="1" x14ac:dyDescent="0.15">
      <c r="A16" s="922" t="s">
        <v>979</v>
      </c>
      <c r="B16" s="930"/>
      <c r="C16" s="930"/>
      <c r="D16" s="930"/>
      <c r="E16" s="930"/>
      <c r="F16" s="930"/>
      <c r="G16" s="935"/>
      <c r="H16" s="930"/>
      <c r="I16" s="295"/>
      <c r="J16" s="173"/>
      <c r="K16" s="173"/>
      <c r="L16" s="173"/>
    </row>
    <row r="17" spans="1:12" s="65" customFormat="1" ht="7.9" customHeight="1" x14ac:dyDescent="0.15">
      <c r="A17" s="18" t="s">
        <v>976</v>
      </c>
      <c r="B17" s="84">
        <v>56</v>
      </c>
      <c r="C17" s="84">
        <v>31</v>
      </c>
      <c r="D17" s="84">
        <v>17</v>
      </c>
      <c r="E17" s="84">
        <v>29</v>
      </c>
      <c r="F17" s="84">
        <v>69</v>
      </c>
      <c r="G17" s="426">
        <v>202</v>
      </c>
      <c r="H17" s="394">
        <v>3376</v>
      </c>
      <c r="I17" s="295"/>
      <c r="J17" s="173"/>
      <c r="K17" s="173"/>
      <c r="L17" s="173"/>
    </row>
    <row r="18" spans="1:12" s="65" customFormat="1" ht="7.9" customHeight="1" x14ac:dyDescent="0.15">
      <c r="A18" s="18" t="s">
        <v>985</v>
      </c>
      <c r="B18" s="84">
        <v>2202</v>
      </c>
      <c r="C18" s="84">
        <v>1499</v>
      </c>
      <c r="D18" s="84">
        <v>594</v>
      </c>
      <c r="E18" s="84">
        <v>1140</v>
      </c>
      <c r="F18" s="84">
        <v>2374</v>
      </c>
      <c r="G18" s="426">
        <v>7809</v>
      </c>
      <c r="H18" s="394">
        <v>97108</v>
      </c>
      <c r="I18" s="295"/>
      <c r="J18" s="173"/>
      <c r="K18" s="173"/>
      <c r="L18" s="173"/>
    </row>
    <row r="19" spans="1:12" s="65" customFormat="1" ht="7.9" customHeight="1" x14ac:dyDescent="0.15">
      <c r="A19" s="134" t="s">
        <v>977</v>
      </c>
      <c r="B19" s="876">
        <v>39.321428571428569</v>
      </c>
      <c r="C19" s="876">
        <v>48.354838709677416</v>
      </c>
      <c r="D19" s="876">
        <v>34.941176470588232</v>
      </c>
      <c r="E19" s="876">
        <v>39.310344827586206</v>
      </c>
      <c r="F19" s="876">
        <v>34.405797101449274</v>
      </c>
      <c r="G19" s="877">
        <v>38.658415841584159</v>
      </c>
      <c r="H19" s="876">
        <v>28.764218009478672</v>
      </c>
      <c r="I19" s="295"/>
      <c r="J19" s="173"/>
      <c r="K19" s="173"/>
      <c r="L19" s="173"/>
    </row>
    <row r="20" spans="1:12" s="65" customFormat="1" ht="7.9" customHeight="1" x14ac:dyDescent="0.15">
      <c r="A20" s="61"/>
      <c r="B20" s="425"/>
      <c r="C20" s="425"/>
      <c r="D20" s="425"/>
      <c r="E20" s="425"/>
      <c r="F20" s="425"/>
      <c r="G20" s="790"/>
      <c r="H20" s="425"/>
      <c r="I20" s="295"/>
      <c r="J20" s="173"/>
      <c r="K20" s="173"/>
      <c r="L20" s="173"/>
    </row>
    <row r="21" spans="1:12" ht="7.9" customHeight="1" x14ac:dyDescent="0.15">
      <c r="A21" s="922" t="s">
        <v>980</v>
      </c>
      <c r="B21" s="930"/>
      <c r="C21" s="930"/>
      <c r="D21" s="930"/>
      <c r="E21" s="930"/>
      <c r="F21" s="930"/>
      <c r="G21" s="935"/>
      <c r="H21" s="930"/>
      <c r="I21" s="789"/>
      <c r="J21" s="789"/>
      <c r="K21" s="789"/>
      <c r="L21" s="173"/>
    </row>
    <row r="22" spans="1:12" s="65" customFormat="1" ht="7.9" customHeight="1" x14ac:dyDescent="0.15">
      <c r="A22" s="18" t="s">
        <v>976</v>
      </c>
      <c r="B22" s="104">
        <v>550</v>
      </c>
      <c r="C22" s="104">
        <v>501</v>
      </c>
      <c r="D22" s="104">
        <v>223</v>
      </c>
      <c r="E22" s="104">
        <v>366</v>
      </c>
      <c r="F22" s="104">
        <v>802</v>
      </c>
      <c r="G22" s="184">
        <v>2442</v>
      </c>
      <c r="H22" s="104">
        <v>22335</v>
      </c>
      <c r="I22" s="789"/>
      <c r="J22" s="789"/>
      <c r="K22" s="789"/>
      <c r="L22" s="173"/>
    </row>
    <row r="23" spans="1:12" s="65" customFormat="1" ht="7.9" customHeight="1" x14ac:dyDescent="0.15">
      <c r="A23" s="125" t="s">
        <v>981</v>
      </c>
      <c r="B23" s="886">
        <v>0.42727272727272725</v>
      </c>
      <c r="C23" s="886">
        <v>0.46506986027944114</v>
      </c>
      <c r="D23" s="886">
        <v>0.39013452914798208</v>
      </c>
      <c r="E23" s="886">
        <v>0.41530054644808745</v>
      </c>
      <c r="F23" s="886">
        <v>0.43890274314214461</v>
      </c>
      <c r="G23" s="887">
        <v>0.43366093366093367</v>
      </c>
      <c r="H23" s="886">
        <v>0.26577121110364899</v>
      </c>
      <c r="I23" s="789"/>
      <c r="J23" s="789"/>
      <c r="K23" s="789"/>
      <c r="L23" s="173"/>
    </row>
    <row r="24" spans="1:12" ht="7.9" customHeight="1" x14ac:dyDescent="0.15">
      <c r="A24" s="18" t="s">
        <v>985</v>
      </c>
      <c r="B24" s="84">
        <v>8706</v>
      </c>
      <c r="C24" s="84">
        <v>8916</v>
      </c>
      <c r="D24" s="84">
        <v>4085</v>
      </c>
      <c r="E24" s="84">
        <v>6835</v>
      </c>
      <c r="F24" s="84">
        <v>13848</v>
      </c>
      <c r="G24" s="426">
        <v>42390</v>
      </c>
      <c r="H24" s="394">
        <v>391573</v>
      </c>
      <c r="I24" s="789"/>
      <c r="J24" s="789"/>
      <c r="K24" s="789"/>
      <c r="L24" s="173"/>
    </row>
    <row r="25" spans="1:12" ht="7.9" customHeight="1" x14ac:dyDescent="0.15">
      <c r="A25" s="134" t="s">
        <v>977</v>
      </c>
      <c r="B25" s="874">
        <v>15.829090909090908</v>
      </c>
      <c r="C25" s="874">
        <v>17.796407185628741</v>
      </c>
      <c r="D25" s="874">
        <v>18.318385650224215</v>
      </c>
      <c r="E25" s="874">
        <v>18.674863387978142</v>
      </c>
      <c r="F25" s="874">
        <v>17.266832917705734</v>
      </c>
      <c r="G25" s="884">
        <v>17.35872235872236</v>
      </c>
      <c r="H25" s="885">
        <v>17.531811058876205</v>
      </c>
      <c r="I25" s="789"/>
      <c r="J25" s="789"/>
      <c r="K25" s="789"/>
      <c r="L25" s="173"/>
    </row>
    <row r="26" spans="1:12" ht="7.9" customHeight="1" x14ac:dyDescent="0.15">
      <c r="A26" s="61"/>
      <c r="B26" s="84"/>
      <c r="C26" s="84"/>
      <c r="D26" s="84"/>
      <c r="E26" s="84"/>
      <c r="F26" s="84"/>
      <c r="G26" s="426"/>
      <c r="H26" s="394"/>
      <c r="I26" s="789"/>
      <c r="J26" s="789"/>
      <c r="K26" s="789"/>
      <c r="L26" s="173"/>
    </row>
    <row r="27" spans="1:12" s="65" customFormat="1" ht="7.9" customHeight="1" x14ac:dyDescent="0.15">
      <c r="A27" s="922" t="s">
        <v>756</v>
      </c>
      <c r="B27" s="930"/>
      <c r="C27" s="930"/>
      <c r="D27" s="930"/>
      <c r="E27" s="930"/>
      <c r="F27" s="930"/>
      <c r="G27" s="935"/>
      <c r="H27" s="930"/>
      <c r="I27" s="295"/>
      <c r="J27" s="173"/>
      <c r="K27" s="173"/>
      <c r="L27" s="173"/>
    </row>
    <row r="28" spans="1:12" s="65" customFormat="1" ht="7.9" customHeight="1" x14ac:dyDescent="0.15">
      <c r="A28" s="18" t="s">
        <v>976</v>
      </c>
      <c r="B28" s="425">
        <v>1037</v>
      </c>
      <c r="C28" s="425">
        <v>746</v>
      </c>
      <c r="D28" s="425">
        <v>363</v>
      </c>
      <c r="E28" s="425">
        <v>541</v>
      </c>
      <c r="F28" s="425">
        <v>1614</v>
      </c>
      <c r="G28" s="790">
        <v>4301</v>
      </c>
      <c r="H28" s="425">
        <v>53156</v>
      </c>
      <c r="I28" s="295"/>
      <c r="J28" s="173"/>
      <c r="K28" s="173"/>
      <c r="L28" s="173"/>
    </row>
    <row r="29" spans="1:12" s="65" customFormat="1" ht="7.9" customHeight="1" x14ac:dyDescent="0.15">
      <c r="A29" s="18" t="s">
        <v>985</v>
      </c>
      <c r="B29" s="84">
        <v>23345</v>
      </c>
      <c r="C29" s="84">
        <v>16264</v>
      </c>
      <c r="D29" s="84">
        <v>8379</v>
      </c>
      <c r="E29" s="84">
        <v>12654</v>
      </c>
      <c r="F29" s="84">
        <v>40362</v>
      </c>
      <c r="G29" s="426">
        <v>101004</v>
      </c>
      <c r="H29" s="394">
        <v>1385543</v>
      </c>
      <c r="I29" s="295"/>
      <c r="J29" s="173"/>
      <c r="K29" s="173"/>
      <c r="L29" s="173"/>
    </row>
    <row r="30" spans="1:12" s="65" customFormat="1" ht="7.9" customHeight="1" x14ac:dyDescent="0.15">
      <c r="A30" s="134" t="s">
        <v>977</v>
      </c>
      <c r="B30" s="874">
        <v>22.512054001928639</v>
      </c>
      <c r="C30" s="874">
        <v>21.801608579088473</v>
      </c>
      <c r="D30" s="874">
        <v>23.082644628099175</v>
      </c>
      <c r="E30" s="874">
        <v>23.390018484288355</v>
      </c>
      <c r="F30" s="874">
        <v>25.007434944237918</v>
      </c>
      <c r="G30" s="884">
        <v>23.483840967216928</v>
      </c>
      <c r="H30" s="885">
        <v>26.065599367898262</v>
      </c>
      <c r="I30" s="295"/>
      <c r="J30" s="173"/>
      <c r="K30" s="173"/>
      <c r="L30" s="173"/>
    </row>
    <row r="31" spans="1:12" s="65" customFormat="1" ht="7.9" customHeight="1" x14ac:dyDescent="0.15">
      <c r="A31" s="134" t="s">
        <v>982</v>
      </c>
      <c r="B31" s="883">
        <f>B28/$G28</f>
        <v>0.24110671936758893</v>
      </c>
      <c r="C31" s="883">
        <f t="shared" ref="C31:G31" si="1">C28/$G28</f>
        <v>0.17344803534061845</v>
      </c>
      <c r="D31" s="883">
        <f t="shared" si="1"/>
        <v>8.4398976982097182E-2</v>
      </c>
      <c r="E31" s="883">
        <f t="shared" si="1"/>
        <v>0.12578470123227156</v>
      </c>
      <c r="F31" s="883">
        <f t="shared" si="1"/>
        <v>0.37526156707742386</v>
      </c>
      <c r="G31" s="888">
        <f t="shared" si="1"/>
        <v>1</v>
      </c>
      <c r="H31" s="889" t="s">
        <v>973</v>
      </c>
      <c r="I31" s="295"/>
      <c r="J31" s="173"/>
      <c r="K31" s="173"/>
      <c r="L31" s="173"/>
    </row>
    <row r="32" spans="1:12" ht="7.9" customHeight="1" thickBot="1" x14ac:dyDescent="0.2">
      <c r="A32" s="1008"/>
      <c r="B32" s="1009"/>
      <c r="C32" s="1009"/>
      <c r="D32" s="1009"/>
      <c r="E32" s="1009"/>
      <c r="F32" s="1009"/>
      <c r="G32" s="1010"/>
      <c r="H32" s="1010"/>
    </row>
    <row r="33" spans="1:12" ht="7.9" customHeight="1" thickTop="1" x14ac:dyDescent="0.15">
      <c r="A33" s="101" t="s">
        <v>986</v>
      </c>
      <c r="J33" s="173"/>
      <c r="K33" s="173"/>
      <c r="L33" s="173"/>
    </row>
    <row r="34" spans="1:12" ht="7.9" customHeight="1" x14ac:dyDescent="0.15">
      <c r="A34" s="101" t="s">
        <v>757</v>
      </c>
      <c r="J34" s="173"/>
      <c r="K34" s="173"/>
      <c r="L34" s="173"/>
    </row>
    <row r="35" spans="1:12" ht="7.9" customHeight="1" x14ac:dyDescent="0.15">
      <c r="A35" s="134" t="s">
        <v>984</v>
      </c>
    </row>
    <row r="36" spans="1:12" ht="7.9" customHeight="1" x14ac:dyDescent="0.15">
      <c r="A36" s="86"/>
    </row>
    <row r="37" spans="1:12"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L42"/>
  <sheetViews>
    <sheetView zoomScale="140" zoomScaleNormal="140" workbookViewId="0">
      <selection sqref="A1:H1"/>
    </sheetView>
  </sheetViews>
  <sheetFormatPr baseColWidth="10" defaultRowHeight="9.9499999999999993" customHeight="1" x14ac:dyDescent="0.15"/>
  <cols>
    <col min="1" max="1" width="30.7109375" style="53" customWidth="1"/>
    <col min="2" max="6" width="6.7109375" style="53" customWidth="1"/>
    <col min="7" max="7" width="6.85546875" style="53" customWidth="1"/>
    <col min="8" max="8" width="10" style="54" customWidth="1"/>
    <col min="9" max="10" width="7.28515625" style="241" customWidth="1"/>
    <col min="11" max="11" width="23.5703125" style="241" customWidth="1"/>
    <col min="12" max="12" width="11.42578125" style="241" customWidth="1"/>
    <col min="13" max="16384" width="11.42578125" style="53"/>
  </cols>
  <sheetData>
    <row r="1" spans="1:12" ht="15" customHeight="1" x14ac:dyDescent="0.15">
      <c r="A1" s="1019" t="s">
        <v>434</v>
      </c>
      <c r="B1" s="1019"/>
      <c r="C1" s="1019"/>
      <c r="D1" s="1019"/>
      <c r="E1" s="1019"/>
      <c r="F1" s="1019"/>
      <c r="G1" s="1019"/>
      <c r="H1" s="1019"/>
    </row>
    <row r="2" spans="1:12" ht="9.9499999999999993" customHeight="1" x14ac:dyDescent="0.15">
      <c r="A2" s="1021" t="s">
        <v>856</v>
      </c>
      <c r="B2" s="1021"/>
      <c r="C2" s="1021"/>
      <c r="D2" s="1021"/>
      <c r="E2" s="1021"/>
      <c r="F2" s="1021"/>
      <c r="G2" s="1021"/>
      <c r="H2" s="1021"/>
    </row>
    <row r="3" spans="1:12" ht="7.9" customHeight="1" x14ac:dyDescent="0.15">
      <c r="A3" s="56"/>
      <c r="B3" s="57"/>
    </row>
    <row r="4" spans="1:12" ht="20.100000000000001" customHeight="1" x14ac:dyDescent="0.15">
      <c r="A4" s="58"/>
      <c r="B4" s="22" t="s">
        <v>374</v>
      </c>
      <c r="C4" s="22" t="s">
        <v>375</v>
      </c>
      <c r="D4" s="22" t="s">
        <v>376</v>
      </c>
      <c r="E4" s="22" t="s">
        <v>377</v>
      </c>
      <c r="F4" s="22" t="s">
        <v>378</v>
      </c>
      <c r="G4" s="23" t="s">
        <v>379</v>
      </c>
      <c r="H4" s="88" t="s">
        <v>388</v>
      </c>
    </row>
    <row r="5" spans="1:12" ht="7.9" customHeight="1" x14ac:dyDescent="0.15">
      <c r="A5" s="78"/>
      <c r="B5" s="126"/>
      <c r="C5" s="126"/>
      <c r="D5" s="126"/>
      <c r="E5" s="126"/>
      <c r="F5" s="126"/>
      <c r="G5" s="126"/>
      <c r="H5" s="126"/>
    </row>
    <row r="6" spans="1:12" ht="7.9" customHeight="1" x14ac:dyDescent="0.15">
      <c r="A6" s="78"/>
      <c r="B6" s="132"/>
      <c r="C6" s="132"/>
      <c r="D6" s="132"/>
      <c r="E6" s="132"/>
      <c r="F6" s="132"/>
      <c r="G6" s="133"/>
      <c r="H6" s="132"/>
    </row>
    <row r="7" spans="1:12" ht="7.9" customHeight="1" x14ac:dyDescent="0.15">
      <c r="A7" s="918" t="s">
        <v>857</v>
      </c>
      <c r="B7" s="980"/>
      <c r="C7" s="980"/>
      <c r="D7" s="980"/>
      <c r="E7" s="980"/>
      <c r="F7" s="980"/>
      <c r="G7" s="980"/>
      <c r="H7" s="980"/>
    </row>
    <row r="8" spans="1:12" ht="7.9" customHeight="1" x14ac:dyDescent="0.15">
      <c r="A8" s="32" t="s">
        <v>134</v>
      </c>
      <c r="B8" s="421">
        <v>156</v>
      </c>
      <c r="C8" s="421">
        <v>53</v>
      </c>
      <c r="D8" s="421">
        <v>0</v>
      </c>
      <c r="E8" s="421">
        <v>25</v>
      </c>
      <c r="F8" s="421">
        <v>51</v>
      </c>
      <c r="G8" s="424">
        <v>285</v>
      </c>
      <c r="H8" s="394">
        <v>4941</v>
      </c>
    </row>
    <row r="9" spans="1:12" ht="7.9" customHeight="1" x14ac:dyDescent="0.15">
      <c r="A9" s="32" t="s">
        <v>135</v>
      </c>
      <c r="B9" s="421">
        <v>0</v>
      </c>
      <c r="C9" s="421">
        <v>14</v>
      </c>
      <c r="D9" s="421">
        <v>0</v>
      </c>
      <c r="E9" s="421">
        <v>26</v>
      </c>
      <c r="F9" s="421">
        <v>0</v>
      </c>
      <c r="G9" s="424">
        <v>40</v>
      </c>
      <c r="H9" s="394">
        <v>853</v>
      </c>
    </row>
    <row r="10" spans="1:12" ht="7.9" customHeight="1" x14ac:dyDescent="0.15">
      <c r="A10" s="32" t="s">
        <v>136</v>
      </c>
      <c r="B10" s="421">
        <v>176</v>
      </c>
      <c r="C10" s="421">
        <v>107</v>
      </c>
      <c r="D10" s="421">
        <v>0</v>
      </c>
      <c r="E10" s="421">
        <v>40</v>
      </c>
      <c r="F10" s="421">
        <v>52</v>
      </c>
      <c r="G10" s="424">
        <v>375</v>
      </c>
      <c r="H10" s="394">
        <v>10478</v>
      </c>
    </row>
    <row r="11" spans="1:12" ht="7.9" customHeight="1" x14ac:dyDescent="0.15">
      <c r="A11" s="32" t="s">
        <v>137</v>
      </c>
      <c r="B11" s="421">
        <v>1245</v>
      </c>
      <c r="C11" s="421">
        <v>648</v>
      </c>
      <c r="D11" s="421">
        <v>139</v>
      </c>
      <c r="E11" s="421">
        <v>283</v>
      </c>
      <c r="F11" s="421">
        <v>107</v>
      </c>
      <c r="G11" s="424">
        <v>2422</v>
      </c>
      <c r="H11" s="394">
        <v>43973</v>
      </c>
    </row>
    <row r="12" spans="1:12" ht="7.9" customHeight="1" x14ac:dyDescent="0.15">
      <c r="A12" s="32" t="s">
        <v>138</v>
      </c>
      <c r="B12" s="422">
        <v>191</v>
      </c>
      <c r="C12" s="422">
        <v>0</v>
      </c>
      <c r="D12" s="422">
        <v>30</v>
      </c>
      <c r="E12" s="422">
        <v>215</v>
      </c>
      <c r="F12" s="422">
        <v>0</v>
      </c>
      <c r="G12" s="424">
        <f t="shared" ref="G12:G13" si="0">SUM(B12:F12)</f>
        <v>436</v>
      </c>
      <c r="H12" s="394">
        <v>11903</v>
      </c>
    </row>
    <row r="13" spans="1:12" ht="7.9" customHeight="1" x14ac:dyDescent="0.15">
      <c r="A13" s="61" t="s">
        <v>625</v>
      </c>
      <c r="B13" s="427">
        <f>113+46</f>
        <v>159</v>
      </c>
      <c r="C13" s="427">
        <v>24</v>
      </c>
      <c r="D13" s="427">
        <v>22</v>
      </c>
      <c r="E13" s="427">
        <v>24</v>
      </c>
      <c r="F13" s="427">
        <v>21</v>
      </c>
      <c r="G13" s="424">
        <f t="shared" si="0"/>
        <v>250</v>
      </c>
      <c r="H13" s="163">
        <f>1282+2601</f>
        <v>3883</v>
      </c>
    </row>
    <row r="14" spans="1:12" s="99" customFormat="1" ht="7.9" customHeight="1" x14ac:dyDescent="0.15">
      <c r="A14" s="134" t="s">
        <v>626</v>
      </c>
      <c r="B14" s="685">
        <f>(SUM(B8:B13))/('page 7 Démo'!B6+'page 7 Démo'!B7+'page 7 Démo'!B8+'page 7 Démo'!B9)*1000</f>
        <v>5.5442069223465777</v>
      </c>
      <c r="C14" s="685">
        <f>(SUM(C8:C13))/('page 7 Démo'!C6+'page 7 Démo'!C7+'page 7 Démo'!C8+'page 7 Démo'!C9)*1000</f>
        <v>3.9863728248116366</v>
      </c>
      <c r="D14" s="685">
        <f>(SUM(D8:D13))/('page 7 Démo'!D6+'page 7 Démo'!D7+'page 7 Démo'!D8+'page 7 Démo'!D9)*1000</f>
        <v>2.415611680936903</v>
      </c>
      <c r="E14" s="685">
        <f>(SUM(E8:E13))/('page 7 Démo'!E6+'page 7 Démo'!E7+'page 7 Démo'!E8+'page 7 Démo'!E9)*1000</f>
        <v>4.2722533522901509</v>
      </c>
      <c r="F14" s="685">
        <f>(SUM(F8:F13))/('page 7 Démo'!F6+'page 7 Démo'!F7+'page 7 Démo'!F8+'page 7 Démo'!F9)*1000</f>
        <v>1.4598355631110296</v>
      </c>
      <c r="G14" s="686">
        <f>(SUM(G8:G13))/('page 7 Démo'!G6+'page 7 Démo'!G7+'page 7 Démo'!G8+'page 7 Démo'!G9)*1000</f>
        <v>4.0485528656163252</v>
      </c>
      <c r="H14" s="685">
        <f>(SUM(H8:H13))/('page 7 Démo'!H6+'page 7 Démo'!H7+'page 7 Démo'!H8+'page 7 Démo'!H9)*1000</f>
        <v>4.8772067257996419</v>
      </c>
      <c r="I14" s="349"/>
      <c r="J14" s="349"/>
      <c r="K14" s="349"/>
      <c r="L14" s="349"/>
    </row>
    <row r="15" spans="1:12" s="65" customFormat="1" ht="7.9" customHeight="1" x14ac:dyDescent="0.15">
      <c r="A15" s="68"/>
      <c r="B15" s="684"/>
      <c r="C15" s="684"/>
      <c r="D15" s="684"/>
      <c r="E15" s="684"/>
      <c r="F15" s="684"/>
      <c r="G15" s="684"/>
      <c r="H15" s="684"/>
      <c r="I15" s="173"/>
      <c r="J15" s="173"/>
      <c r="K15" s="173"/>
      <c r="L15" s="173"/>
    </row>
    <row r="16" spans="1:12" s="65" customFormat="1" ht="7.9" customHeight="1" x14ac:dyDescent="0.15">
      <c r="A16" s="918" t="s">
        <v>1031</v>
      </c>
      <c r="B16" s="980"/>
      <c r="C16" s="980"/>
      <c r="D16" s="980"/>
      <c r="E16" s="980"/>
      <c r="F16" s="980"/>
      <c r="G16" s="980"/>
      <c r="H16" s="980"/>
      <c r="I16" s="173"/>
      <c r="J16" s="173"/>
      <c r="K16" s="173"/>
      <c r="L16" s="173"/>
    </row>
    <row r="17" spans="1:12" s="65" customFormat="1" ht="7.9" customHeight="1" x14ac:dyDescent="0.15">
      <c r="A17" s="61" t="s">
        <v>621</v>
      </c>
      <c r="B17" s="76">
        <v>2084</v>
      </c>
      <c r="C17" s="76">
        <v>1894</v>
      </c>
      <c r="D17" s="76">
        <v>807</v>
      </c>
      <c r="E17" s="76">
        <v>1194</v>
      </c>
      <c r="F17" s="76">
        <v>957</v>
      </c>
      <c r="G17" s="424">
        <v>6936</v>
      </c>
      <c r="H17" s="26">
        <v>140287</v>
      </c>
      <c r="I17" s="173"/>
      <c r="J17" s="173"/>
      <c r="K17" s="173"/>
      <c r="L17" s="173"/>
    </row>
    <row r="18" spans="1:12" s="65" customFormat="1" ht="7.9" customHeight="1" x14ac:dyDescent="0.15">
      <c r="A18" s="61" t="s">
        <v>618</v>
      </c>
      <c r="B18" s="76">
        <v>341</v>
      </c>
      <c r="C18" s="76">
        <v>119</v>
      </c>
      <c r="D18" s="76">
        <v>25</v>
      </c>
      <c r="E18" s="76">
        <v>212</v>
      </c>
      <c r="F18" s="76">
        <v>98</v>
      </c>
      <c r="G18" s="424">
        <v>795</v>
      </c>
      <c r="H18" s="26">
        <v>14756</v>
      </c>
      <c r="I18" s="173"/>
      <c r="J18" s="173"/>
      <c r="K18" s="173"/>
      <c r="L18" s="173"/>
    </row>
    <row r="19" spans="1:12" s="65" customFormat="1" ht="7.9" customHeight="1" x14ac:dyDescent="0.15">
      <c r="A19" s="61" t="s">
        <v>619</v>
      </c>
      <c r="B19" s="76">
        <v>629</v>
      </c>
      <c r="C19" s="76">
        <v>380</v>
      </c>
      <c r="D19" s="76">
        <v>397</v>
      </c>
      <c r="E19" s="76">
        <v>310</v>
      </c>
      <c r="F19" s="76">
        <v>594</v>
      </c>
      <c r="G19" s="424">
        <v>2310</v>
      </c>
      <c r="H19" s="26">
        <v>48072</v>
      </c>
      <c r="I19" s="173"/>
      <c r="J19" s="173"/>
      <c r="K19" s="173"/>
      <c r="L19" s="173"/>
    </row>
    <row r="20" spans="1:12" s="65" customFormat="1" ht="7.9" customHeight="1" x14ac:dyDescent="0.15">
      <c r="A20" s="61" t="s">
        <v>620</v>
      </c>
      <c r="B20" s="76">
        <v>2153</v>
      </c>
      <c r="C20" s="76">
        <v>1440</v>
      </c>
      <c r="D20" s="76">
        <v>561</v>
      </c>
      <c r="E20" s="76">
        <v>998</v>
      </c>
      <c r="F20" s="76">
        <v>688</v>
      </c>
      <c r="G20" s="424">
        <v>5840</v>
      </c>
      <c r="H20" s="26">
        <v>106224</v>
      </c>
      <c r="I20" s="173"/>
      <c r="J20" s="173"/>
      <c r="K20" s="173"/>
      <c r="L20" s="173"/>
    </row>
    <row r="21" spans="1:12" s="65" customFormat="1" ht="7.9" customHeight="1" x14ac:dyDescent="0.15">
      <c r="A21" s="134" t="s">
        <v>1030</v>
      </c>
      <c r="B21" s="685">
        <v>1.4</v>
      </c>
      <c r="C21" s="685">
        <v>1.7</v>
      </c>
      <c r="D21" s="685">
        <v>2.2000000000000002</v>
      </c>
      <c r="E21" s="685">
        <v>1.8</v>
      </c>
      <c r="F21" s="685">
        <v>1.4</v>
      </c>
      <c r="G21" s="686">
        <v>1.6</v>
      </c>
      <c r="H21" s="685">
        <v>1.9</v>
      </c>
      <c r="I21" s="173"/>
      <c r="J21" s="173"/>
      <c r="K21" s="173"/>
      <c r="L21" s="173"/>
    </row>
    <row r="22" spans="1:12" ht="7.9" customHeight="1" thickBot="1" x14ac:dyDescent="0.2">
      <c r="A22" s="1008"/>
      <c r="B22" s="1009"/>
      <c r="C22" s="1009"/>
      <c r="D22" s="1009"/>
      <c r="E22" s="1009"/>
      <c r="F22" s="1009"/>
      <c r="G22" s="1010"/>
      <c r="H22" s="1010"/>
    </row>
    <row r="23" spans="1:12" ht="7.9" customHeight="1" thickTop="1" x14ac:dyDescent="0.15">
      <c r="A23" s="61" t="s">
        <v>760</v>
      </c>
      <c r="B23" s="21"/>
      <c r="C23" s="21"/>
      <c r="D23" s="21"/>
      <c r="E23" s="21"/>
      <c r="F23" s="21"/>
      <c r="G23" s="21"/>
      <c r="H23" s="27"/>
    </row>
    <row r="24" spans="1:12" ht="7.9" customHeight="1" x14ac:dyDescent="0.15">
      <c r="A24" s="93" t="s">
        <v>627</v>
      </c>
    </row>
    <row r="25" spans="1:12" ht="7.9" customHeight="1" x14ac:dyDescent="0.15">
      <c r="A25" s="93" t="s">
        <v>1033</v>
      </c>
    </row>
    <row r="26" spans="1:12" ht="7.9" customHeight="1" x14ac:dyDescent="0.15">
      <c r="A26" s="53" t="s">
        <v>1032</v>
      </c>
    </row>
    <row r="27" spans="1:12" ht="7.9" customHeight="1" x14ac:dyDescent="0.15"/>
    <row r="28" spans="1:12" ht="7.9" customHeight="1" x14ac:dyDescent="0.15"/>
    <row r="29" spans="1:12" ht="7.9" customHeight="1" x14ac:dyDescent="0.15"/>
    <row r="30" spans="1:12" ht="7.9" customHeight="1" x14ac:dyDescent="0.15">
      <c r="A30" s="32"/>
    </row>
    <row r="31" spans="1:12" ht="7.9" customHeight="1" x14ac:dyDescent="0.15">
      <c r="A31" s="32"/>
    </row>
    <row r="32" spans="1:12" ht="7.9" customHeight="1" x14ac:dyDescent="0.15">
      <c r="A32" s="32"/>
    </row>
    <row r="33" spans="1:1" ht="7.9" customHeight="1" x14ac:dyDescent="0.15">
      <c r="A33" s="32"/>
    </row>
    <row r="34" spans="1:1" ht="7.9" customHeight="1" x14ac:dyDescent="0.15">
      <c r="A34" s="32"/>
    </row>
    <row r="35" spans="1:1" ht="7.9" customHeight="1" x14ac:dyDescent="0.15">
      <c r="A35" s="61"/>
    </row>
    <row r="36" spans="1:1" ht="7.9" customHeight="1" x14ac:dyDescent="0.15"/>
    <row r="37" spans="1:1" ht="7.9" customHeight="1" x14ac:dyDescent="0.15"/>
    <row r="38" spans="1:1" ht="7.9" customHeight="1" x14ac:dyDescent="0.15"/>
    <row r="39" spans="1:1" ht="7.9" customHeight="1" x14ac:dyDescent="0.15"/>
    <row r="40" spans="1:1" ht="7.9" customHeight="1" x14ac:dyDescent="0.15"/>
    <row r="41" spans="1:1" ht="7.9" customHeight="1" x14ac:dyDescent="0.15"/>
    <row r="42" spans="1:1"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39"/>
  <sheetViews>
    <sheetView zoomScale="140" zoomScaleNormal="140" workbookViewId="0">
      <selection sqref="A1:B1"/>
    </sheetView>
  </sheetViews>
  <sheetFormatPr baseColWidth="10" defaultRowHeight="15" x14ac:dyDescent="0.25"/>
  <cols>
    <col min="1" max="1" width="50.7109375" customWidth="1"/>
    <col min="2" max="2" width="10.7109375" customWidth="1"/>
    <col min="3" max="3" width="3.7109375" customWidth="1"/>
    <col min="4" max="4" width="50.7109375" customWidth="1"/>
    <col min="5" max="5" width="10.7109375" customWidth="1"/>
  </cols>
  <sheetData>
    <row r="1" spans="1:5" ht="12.95" customHeight="1" x14ac:dyDescent="0.25">
      <c r="A1" s="911" t="s">
        <v>11</v>
      </c>
      <c r="B1" s="911">
        <v>35</v>
      </c>
      <c r="C1" s="204"/>
      <c r="D1" s="911" t="s">
        <v>13</v>
      </c>
      <c r="E1" s="911">
        <f>B18+1</f>
        <v>48</v>
      </c>
    </row>
    <row r="2" spans="1:5" ht="12.95" customHeight="1" x14ac:dyDescent="0.25">
      <c r="A2" s="383" t="s">
        <v>78</v>
      </c>
      <c r="B2" s="62">
        <f>B1</f>
        <v>35</v>
      </c>
      <c r="C2" s="204"/>
      <c r="D2" s="383" t="s">
        <v>66</v>
      </c>
      <c r="E2" s="62">
        <f>E1</f>
        <v>48</v>
      </c>
    </row>
    <row r="3" spans="1:5" ht="12.95" customHeight="1" x14ac:dyDescent="0.25">
      <c r="A3" s="383" t="s">
        <v>677</v>
      </c>
      <c r="B3" s="62">
        <f>B2+1</f>
        <v>36</v>
      </c>
      <c r="C3" s="204"/>
      <c r="D3" s="383" t="s">
        <v>67</v>
      </c>
      <c r="E3" s="62">
        <f>E2+1</f>
        <v>49</v>
      </c>
    </row>
    <row r="4" spans="1:5" ht="12.95" customHeight="1" x14ac:dyDescent="0.25">
      <c r="A4" s="383" t="s">
        <v>505</v>
      </c>
      <c r="B4" s="62">
        <f>B3+1</f>
        <v>37</v>
      </c>
      <c r="C4" s="204"/>
      <c r="D4" s="383" t="s">
        <v>591</v>
      </c>
      <c r="E4" s="62">
        <f>E3+1</f>
        <v>50</v>
      </c>
    </row>
    <row r="5" spans="1:5" ht="12.95" customHeight="1" x14ac:dyDescent="0.25">
      <c r="A5" s="383" t="s">
        <v>12</v>
      </c>
      <c r="B5" s="62">
        <f>B4+1</f>
        <v>38</v>
      </c>
      <c r="C5" s="204"/>
      <c r="D5" s="383"/>
      <c r="E5" s="62"/>
    </row>
    <row r="6" spans="1:5" ht="12.95" customHeight="1" x14ac:dyDescent="0.25">
      <c r="A6" s="383"/>
      <c r="B6" s="62"/>
      <c r="C6" s="204"/>
      <c r="D6" s="911" t="s">
        <v>306</v>
      </c>
      <c r="E6" s="911">
        <f>E4+1</f>
        <v>51</v>
      </c>
    </row>
    <row r="7" spans="1:5" ht="12.95" customHeight="1" x14ac:dyDescent="0.25">
      <c r="A7" s="911" t="s">
        <v>58</v>
      </c>
      <c r="B7" s="911">
        <f>B5+1</f>
        <v>39</v>
      </c>
      <c r="C7" s="204"/>
      <c r="D7" s="383" t="s">
        <v>316</v>
      </c>
      <c r="E7" s="62">
        <f>E6</f>
        <v>51</v>
      </c>
    </row>
    <row r="8" spans="1:5" ht="12.95" customHeight="1" x14ac:dyDescent="0.25">
      <c r="A8" s="383" t="s">
        <v>543</v>
      </c>
      <c r="B8" s="62">
        <f>B7</f>
        <v>39</v>
      </c>
      <c r="C8" s="204"/>
      <c r="D8" s="383" t="s">
        <v>317</v>
      </c>
      <c r="E8" s="62">
        <f>E7+1</f>
        <v>52</v>
      </c>
    </row>
    <row r="9" spans="1:5" ht="12.95" customHeight="1" x14ac:dyDescent="0.25">
      <c r="A9" s="383" t="s">
        <v>678</v>
      </c>
      <c r="B9" s="62">
        <f>B8+1</f>
        <v>40</v>
      </c>
      <c r="C9" s="204"/>
      <c r="D9" s="383" t="s">
        <v>318</v>
      </c>
      <c r="E9" s="62">
        <f>E8+1</f>
        <v>53</v>
      </c>
    </row>
    <row r="10" spans="1:5" ht="12.95" customHeight="1" x14ac:dyDescent="0.25">
      <c r="A10" s="383" t="s">
        <v>679</v>
      </c>
      <c r="B10" s="62">
        <f>B9+1</f>
        <v>41</v>
      </c>
      <c r="C10" s="204"/>
      <c r="D10" s="383" t="s">
        <v>319</v>
      </c>
      <c r="E10" s="62">
        <f>E9+1</f>
        <v>54</v>
      </c>
    </row>
    <row r="11" spans="1:5" ht="12.95" customHeight="1" x14ac:dyDescent="0.25">
      <c r="A11" s="383" t="s">
        <v>680</v>
      </c>
      <c r="B11" s="62">
        <f>B10+1</f>
        <v>42</v>
      </c>
      <c r="C11" s="204"/>
      <c r="D11" s="383" t="s">
        <v>320</v>
      </c>
      <c r="E11" s="62">
        <f>E10+1</f>
        <v>55</v>
      </c>
    </row>
    <row r="12" spans="1:5" ht="12.95" customHeight="1" x14ac:dyDescent="0.25">
      <c r="A12" s="383" t="s">
        <v>681</v>
      </c>
      <c r="B12" s="62">
        <f>B11+1</f>
        <v>43</v>
      </c>
      <c r="C12" s="204"/>
      <c r="D12" s="383" t="s">
        <v>322</v>
      </c>
      <c r="E12" s="62">
        <f>E11+1</f>
        <v>56</v>
      </c>
    </row>
    <row r="13" spans="1:5" ht="12.95" customHeight="1" x14ac:dyDescent="0.25">
      <c r="A13" s="383"/>
      <c r="B13" s="62"/>
      <c r="C13" s="204"/>
    </row>
    <row r="14" spans="1:5" ht="12.95" customHeight="1" x14ac:dyDescent="0.25">
      <c r="A14" s="911" t="s">
        <v>71</v>
      </c>
      <c r="B14" s="911">
        <f>B12+1</f>
        <v>44</v>
      </c>
      <c r="C14" s="204"/>
      <c r="D14" s="911" t="s">
        <v>572</v>
      </c>
      <c r="E14" s="911">
        <f>+E12+1</f>
        <v>57</v>
      </c>
    </row>
    <row r="15" spans="1:5" ht="12.95" customHeight="1" x14ac:dyDescent="0.25">
      <c r="A15" s="383" t="s">
        <v>73</v>
      </c>
      <c r="B15" s="62">
        <f>B14</f>
        <v>44</v>
      </c>
      <c r="C15" s="204"/>
      <c r="D15" s="204"/>
      <c r="E15" s="204"/>
    </row>
    <row r="16" spans="1:5" ht="12.95" customHeight="1" x14ac:dyDescent="0.25">
      <c r="A16" s="383" t="s">
        <v>75</v>
      </c>
      <c r="B16" s="62">
        <f>B15+1</f>
        <v>45</v>
      </c>
      <c r="C16" s="204"/>
      <c r="D16" s="911" t="s">
        <v>79</v>
      </c>
      <c r="E16" s="911">
        <f>E14+1</f>
        <v>58</v>
      </c>
    </row>
    <row r="17" spans="1:6" ht="12.95" customHeight="1" x14ac:dyDescent="0.25">
      <c r="A17" s="383" t="s">
        <v>77</v>
      </c>
      <c r="B17" s="62">
        <f>B16+1</f>
        <v>46</v>
      </c>
      <c r="C17" s="204"/>
      <c r="D17" s="62"/>
      <c r="E17" s="62"/>
    </row>
    <row r="18" spans="1:6" ht="12.95" customHeight="1" x14ac:dyDescent="0.25">
      <c r="A18" s="383" t="s">
        <v>215</v>
      </c>
      <c r="B18" s="62">
        <f>B17+1</f>
        <v>47</v>
      </c>
      <c r="C18" s="204"/>
      <c r="D18" s="911" t="s">
        <v>47</v>
      </c>
      <c r="E18" s="911">
        <f>E16+2</f>
        <v>60</v>
      </c>
    </row>
    <row r="19" spans="1:6" ht="12.95" customHeight="1" x14ac:dyDescent="0.25">
      <c r="C19" s="204"/>
      <c r="D19" s="62"/>
      <c r="E19" s="62"/>
    </row>
    <row r="20" spans="1:6" ht="12.95" customHeight="1" x14ac:dyDescent="0.25">
      <c r="C20" s="204"/>
      <c r="D20" s="62"/>
      <c r="E20" s="62"/>
    </row>
    <row r="21" spans="1:6" ht="12.95" customHeight="1" x14ac:dyDescent="0.25">
      <c r="C21" s="204"/>
    </row>
    <row r="22" spans="1:6" ht="12.95" customHeight="1" x14ac:dyDescent="0.25">
      <c r="C22" s="204"/>
    </row>
    <row r="23" spans="1:6" ht="12.95" customHeight="1" x14ac:dyDescent="0.25">
      <c r="C23" s="204"/>
    </row>
    <row r="24" spans="1:6" ht="12.95" customHeight="1" x14ac:dyDescent="0.25">
      <c r="C24" s="204"/>
    </row>
    <row r="25" spans="1:6" ht="12.95" customHeight="1" x14ac:dyDescent="0.25">
      <c r="C25" s="204"/>
    </row>
    <row r="26" spans="1:6" ht="12.95" customHeight="1" x14ac:dyDescent="0.25">
      <c r="C26" s="293"/>
      <c r="D26" s="204"/>
      <c r="E26" s="204"/>
      <c r="F26" s="284"/>
    </row>
    <row r="27" spans="1:6" ht="12.95" customHeight="1" x14ac:dyDescent="0.25">
      <c r="C27" s="293"/>
      <c r="D27" s="284"/>
      <c r="E27" s="284"/>
      <c r="F27" s="284"/>
    </row>
    <row r="28" spans="1:6" ht="12.95" customHeight="1" x14ac:dyDescent="0.25">
      <c r="C28" s="293"/>
      <c r="D28" s="284"/>
      <c r="E28" s="284"/>
      <c r="F28" s="284"/>
    </row>
    <row r="29" spans="1:6" ht="12.95" customHeight="1" x14ac:dyDescent="0.25">
      <c r="C29" s="293"/>
      <c r="D29" s="284"/>
      <c r="E29" s="284"/>
      <c r="F29" s="284"/>
    </row>
    <row r="30" spans="1:6" ht="12.95" customHeight="1" x14ac:dyDescent="0.25">
      <c r="B30" s="284"/>
      <c r="C30" s="293"/>
      <c r="D30" s="284"/>
      <c r="E30" s="284"/>
      <c r="F30" s="284"/>
    </row>
    <row r="31" spans="1:6" ht="12.95" customHeight="1" x14ac:dyDescent="0.25">
      <c r="A31" s="62"/>
      <c r="B31" s="64"/>
      <c r="C31" s="293"/>
      <c r="D31" s="284"/>
      <c r="E31" s="284"/>
      <c r="F31" s="284"/>
    </row>
    <row r="32" spans="1:6" ht="12.95" customHeight="1" x14ac:dyDescent="0.25">
      <c r="B32" s="294"/>
      <c r="C32" s="293"/>
      <c r="D32" s="293"/>
      <c r="E32" s="293"/>
      <c r="F32" s="284"/>
    </row>
    <row r="33" spans="1:6" ht="12.95" customHeight="1" x14ac:dyDescent="0.25">
      <c r="B33" s="64"/>
      <c r="C33" s="293"/>
      <c r="D33" s="294"/>
      <c r="E33" s="294"/>
      <c r="F33" s="284"/>
    </row>
    <row r="34" spans="1:6" ht="12.95" customHeight="1" x14ac:dyDescent="0.25">
      <c r="B34" s="284"/>
      <c r="C34" s="293"/>
      <c r="D34" s="293"/>
      <c r="E34" s="293"/>
      <c r="F34" s="284"/>
    </row>
    <row r="35" spans="1:6" x14ac:dyDescent="0.25">
      <c r="A35" s="62"/>
      <c r="B35" s="64"/>
      <c r="C35" s="284"/>
      <c r="D35" s="294"/>
      <c r="E35" s="294"/>
      <c r="F35" s="284"/>
    </row>
    <row r="36" spans="1:6" x14ac:dyDescent="0.25">
      <c r="A36" s="62"/>
      <c r="B36" s="64"/>
      <c r="D36" s="284"/>
      <c r="E36" s="284"/>
    </row>
    <row r="37" spans="1:6" x14ac:dyDescent="0.25">
      <c r="A37" s="62"/>
      <c r="B37" s="64"/>
    </row>
    <row r="38" spans="1:6" x14ac:dyDescent="0.25">
      <c r="A38" s="62"/>
      <c r="B38" s="64"/>
    </row>
    <row r="39" spans="1:6" x14ac:dyDescent="0.25">
      <c r="B39" s="284"/>
    </row>
  </sheetData>
  <phoneticPr fontId="15" type="noConversion"/>
  <hyperlinks>
    <hyperlink ref="A2" location="'page 35 Enfance'!A1" display="Accueil des enfants d’âge préscolaire"/>
    <hyperlink ref="A4" location="'page 37 Enfance'!A1" display="Accueil collectif de mineurs avec hébergement"/>
    <hyperlink ref="A5" location="'page 38 Enfance'!A1" display="Protection de l'enfance"/>
    <hyperlink ref="A15" location="'page 44 Sport'!A1" display="Pratiques sportives"/>
    <hyperlink ref="A16" location="'page 45 sport'!A1" display="Le sport de haut niveau"/>
    <hyperlink ref="A17" location="'page 46 Sport '!A1" display="Equipements sportifs"/>
    <hyperlink ref="A18" location="'page 47 Sport'!A1" display="Emplois salariés dans des activités économiques liées au sport"/>
    <hyperlink ref="D2" location="'page 48 Diplômes'!A1" display="Diplômes délivrés dans le champ du sport et de l’animation"/>
    <hyperlink ref="D3" location="'page 49 Diplômes'!A1" display="Diplômes délivrés dans le champ des formations sociales"/>
    <hyperlink ref="D4" location="'page 50 Diplômes'!A1" display="Titres délivrés dans le champ des formations sanitaires"/>
    <hyperlink ref="D7" location="'page 51 Assoc'!A1" display="Créations d'associations"/>
    <hyperlink ref="D8" location="'page 52 Assoc'!A1" display="Associations employeurs"/>
    <hyperlink ref="D9" location="'page 53 Assoc'!A1" display="Effectifs salariés dans les associations"/>
    <hyperlink ref="D10" location="'page 54 Assoc'!A1" display="Emplois en équivalent temps plein dans les associations"/>
    <hyperlink ref="D11" location="'page 55 Assoc'!A1" display="Poids de l'économie sociale et solidaire dans l'emploi total"/>
    <hyperlink ref="D12" location="'page 56 Assoc'!A1" display="Poids des rémunérations brutes des associations dans l'ensemble des rémunérations"/>
    <hyperlink ref="A8" location="'page 39 Immigration'!A1" display="Immigration et origines"/>
    <hyperlink ref="A9" location="'page 40 Immigration '!A1" display="Immigrés selon le sexe, l'âge, le lieu de naissance et le diplôme"/>
    <hyperlink ref="A3" location="'page 36 Enfance'!A1" display="Accueils collectifs de mineurs sans hébergement"/>
    <hyperlink ref="A10" location="'page 41 Immigration'!A1" display="Comparaison des populations immigrées et non immigrées"/>
    <hyperlink ref="A11" location="'page 42 Immigration'!A1" display="Actifs immigrés et non immigrés selon le sexe et l'âge"/>
    <hyperlink ref="A12" location="'page 43 Immigration'!A1" display="Immigrés primo-arrivants"/>
  </hyperlinks>
  <pageMargins left="0.7" right="0.7" top="0.75" bottom="0.75" header="0.3" footer="0.3"/>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dimension ref="A1:Z35"/>
  <sheetViews>
    <sheetView zoomScale="140" zoomScaleNormal="140" workbookViewId="0">
      <selection sqref="A1:H1"/>
    </sheetView>
  </sheetViews>
  <sheetFormatPr baseColWidth="10" defaultRowHeight="9.9499999999999993" customHeight="1" x14ac:dyDescent="0.15"/>
  <cols>
    <col min="1" max="1" width="26.42578125" style="53" customWidth="1"/>
    <col min="2" max="6" width="6.7109375" style="53" customWidth="1"/>
    <col min="7" max="7" width="6.85546875" style="53" customWidth="1"/>
    <col min="8" max="8" width="9.140625" style="54"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15">
      <c r="A1" s="1019" t="s">
        <v>531</v>
      </c>
      <c r="B1" s="1019"/>
      <c r="C1" s="1019"/>
      <c r="D1" s="1019"/>
      <c r="E1" s="1019"/>
      <c r="F1" s="1019"/>
      <c r="G1" s="1019"/>
      <c r="H1" s="1019"/>
      <c r="I1" s="13"/>
    </row>
    <row r="2" spans="1:19" s="46" customFormat="1" ht="9.9499999999999993" customHeight="1" x14ac:dyDescent="0.2">
      <c r="A2" s="1021" t="s">
        <v>845</v>
      </c>
      <c r="B2" s="1021"/>
      <c r="C2" s="1021"/>
      <c r="D2" s="1021"/>
      <c r="E2" s="1021"/>
      <c r="F2" s="1021"/>
      <c r="G2" s="1021"/>
      <c r="H2" s="1021"/>
      <c r="I2" s="687"/>
      <c r="J2" s="296"/>
      <c r="K2" s="296"/>
    </row>
    <row r="3" spans="1:19" ht="7.9" customHeight="1" x14ac:dyDescent="0.15">
      <c r="A3" s="56"/>
      <c r="B3" s="57"/>
      <c r="I3" s="13"/>
    </row>
    <row r="4" spans="1:19" s="57" customFormat="1" ht="27" x14ac:dyDescent="0.15">
      <c r="A4" s="58"/>
      <c r="B4" s="22" t="s">
        <v>374</v>
      </c>
      <c r="C4" s="22" t="s">
        <v>384</v>
      </c>
      <c r="D4" s="22" t="s">
        <v>376</v>
      </c>
      <c r="E4" s="22" t="s">
        <v>377</v>
      </c>
      <c r="F4" s="22" t="s">
        <v>378</v>
      </c>
      <c r="G4" s="23" t="s">
        <v>385</v>
      </c>
      <c r="H4" s="88" t="s">
        <v>380</v>
      </c>
      <c r="I4" s="297"/>
      <c r="J4" s="298"/>
      <c r="K4" s="59"/>
    </row>
    <row r="5" spans="1:19" ht="7.9" customHeight="1" x14ac:dyDescent="0.15">
      <c r="A5" s="60"/>
      <c r="B5" s="22"/>
      <c r="C5" s="22"/>
      <c r="D5" s="22"/>
      <c r="E5" s="22"/>
      <c r="F5" s="22"/>
      <c r="G5" s="23"/>
      <c r="H5" s="23"/>
      <c r="I5" s="13"/>
    </row>
    <row r="6" spans="1:19" ht="7.9" customHeight="1" x14ac:dyDescent="0.15">
      <c r="A6" s="918" t="s">
        <v>530</v>
      </c>
      <c r="B6" s="981">
        <v>53050</v>
      </c>
      <c r="C6" s="981">
        <v>29127</v>
      </c>
      <c r="D6" s="981">
        <v>9108</v>
      </c>
      <c r="E6" s="981">
        <v>19352</v>
      </c>
      <c r="F6" s="981">
        <v>14032</v>
      </c>
      <c r="G6" s="981">
        <v>124669</v>
      </c>
      <c r="H6" s="981">
        <v>5719757</v>
      </c>
      <c r="I6" s="247"/>
      <c r="J6" s="87"/>
      <c r="K6" s="87"/>
    </row>
    <row r="7" spans="1:19" ht="7.9" customHeight="1" x14ac:dyDescent="0.15">
      <c r="A7" s="32"/>
      <c r="B7" s="136"/>
      <c r="C7" s="136"/>
      <c r="D7" s="136"/>
      <c r="E7" s="136"/>
      <c r="F7" s="136"/>
      <c r="G7" s="166"/>
      <c r="H7" s="136"/>
      <c r="I7" s="247"/>
      <c r="J7" s="87"/>
      <c r="K7" s="299"/>
    </row>
    <row r="8" spans="1:19" ht="7.9" customHeight="1" x14ac:dyDescent="0.15">
      <c r="A8" s="918" t="s">
        <v>528</v>
      </c>
      <c r="B8" s="981"/>
      <c r="C8" s="981"/>
      <c r="D8" s="981"/>
      <c r="E8" s="981"/>
      <c r="F8" s="981"/>
      <c r="G8" s="981"/>
      <c r="H8" s="981"/>
      <c r="I8" s="247"/>
      <c r="K8" s="80"/>
    </row>
    <row r="9" spans="1:19" s="65" customFormat="1" ht="7.9" customHeight="1" x14ac:dyDescent="0.15">
      <c r="A9" s="61" t="s">
        <v>532</v>
      </c>
      <c r="B9" s="136">
        <v>3669</v>
      </c>
      <c r="C9" s="136">
        <v>2243</v>
      </c>
      <c r="D9" s="136">
        <v>605</v>
      </c>
      <c r="E9" s="136">
        <v>1811</v>
      </c>
      <c r="F9" s="136">
        <v>1480</v>
      </c>
      <c r="G9" s="142">
        <v>9808</v>
      </c>
      <c r="H9" s="136">
        <v>606448</v>
      </c>
      <c r="I9" s="247"/>
      <c r="J9" s="13"/>
      <c r="K9" s="80"/>
      <c r="L9" s="13"/>
      <c r="M9" s="13"/>
      <c r="N9" s="13"/>
      <c r="O9" s="13"/>
      <c r="P9" s="13"/>
      <c r="Q9" s="13"/>
      <c r="R9" s="13"/>
      <c r="S9" s="13"/>
    </row>
    <row r="10" spans="1:19" ht="7.9" customHeight="1" x14ac:dyDescent="0.15">
      <c r="A10" s="32" t="s">
        <v>533</v>
      </c>
      <c r="B10" s="67">
        <v>1039</v>
      </c>
      <c r="C10" s="67">
        <v>419</v>
      </c>
      <c r="D10" s="67">
        <v>123</v>
      </c>
      <c r="E10" s="67">
        <v>286</v>
      </c>
      <c r="F10" s="67">
        <v>367</v>
      </c>
      <c r="G10" s="142">
        <v>2234</v>
      </c>
      <c r="H10" s="136">
        <v>288420</v>
      </c>
      <c r="I10" s="247"/>
    </row>
    <row r="11" spans="1:19" ht="7.9" customHeight="1" x14ac:dyDescent="0.15">
      <c r="A11" s="39" t="s">
        <v>534</v>
      </c>
      <c r="B11" s="67">
        <v>1175</v>
      </c>
      <c r="C11" s="67">
        <v>516</v>
      </c>
      <c r="D11" s="67">
        <v>139</v>
      </c>
      <c r="E11" s="67">
        <v>464</v>
      </c>
      <c r="F11" s="67">
        <v>414</v>
      </c>
      <c r="G11" s="142">
        <v>2708</v>
      </c>
      <c r="H11" s="136">
        <v>245101</v>
      </c>
      <c r="I11" s="247"/>
      <c r="J11" s="130"/>
      <c r="K11" s="300"/>
    </row>
    <row r="12" spans="1:19" s="39" customFormat="1" ht="7.9" customHeight="1" x14ac:dyDescent="0.15">
      <c r="A12" s="39" t="s">
        <v>535</v>
      </c>
      <c r="B12" s="67">
        <v>7078</v>
      </c>
      <c r="C12" s="67">
        <v>3807</v>
      </c>
      <c r="D12" s="67">
        <v>3099</v>
      </c>
      <c r="E12" s="67">
        <v>2065</v>
      </c>
      <c r="F12" s="67">
        <v>4233</v>
      </c>
      <c r="G12" s="142">
        <v>20282</v>
      </c>
      <c r="H12" s="136">
        <v>707398</v>
      </c>
      <c r="I12" s="247"/>
    </row>
    <row r="13" spans="1:19" ht="7.9" customHeight="1" x14ac:dyDescent="0.15">
      <c r="A13" s="32" t="s">
        <v>536</v>
      </c>
      <c r="B13" s="67">
        <v>2709</v>
      </c>
      <c r="C13" s="67">
        <v>1380</v>
      </c>
      <c r="D13" s="67">
        <v>507</v>
      </c>
      <c r="E13" s="67">
        <v>1233</v>
      </c>
      <c r="F13" s="67">
        <v>1209</v>
      </c>
      <c r="G13" s="142">
        <v>7038</v>
      </c>
      <c r="H13" s="136">
        <v>274259</v>
      </c>
      <c r="I13" s="247"/>
    </row>
    <row r="14" spans="1:19" ht="7.9" customHeight="1" x14ac:dyDescent="0.15">
      <c r="A14" s="32" t="s">
        <v>537</v>
      </c>
      <c r="B14" s="67">
        <v>6137</v>
      </c>
      <c r="C14" s="67">
        <v>1912</v>
      </c>
      <c r="D14" s="67">
        <v>614</v>
      </c>
      <c r="E14" s="67">
        <v>1392</v>
      </c>
      <c r="F14" s="67">
        <v>582</v>
      </c>
      <c r="G14" s="142">
        <v>10637</v>
      </c>
      <c r="H14" s="136">
        <v>759755</v>
      </c>
      <c r="I14" s="247"/>
    </row>
    <row r="15" spans="1:19" ht="7.9" customHeight="1" x14ac:dyDescent="0.15">
      <c r="A15" s="32" t="s">
        <v>538</v>
      </c>
      <c r="B15" s="67">
        <v>5218</v>
      </c>
      <c r="C15" s="67">
        <v>4139</v>
      </c>
      <c r="D15" s="67">
        <v>1036</v>
      </c>
      <c r="E15" s="67">
        <v>2893</v>
      </c>
      <c r="F15" s="67">
        <v>899</v>
      </c>
      <c r="G15" s="142">
        <v>14185</v>
      </c>
      <c r="H15" s="136">
        <v>709001</v>
      </c>
      <c r="I15" s="247"/>
      <c r="K15" s="14"/>
    </row>
    <row r="16" spans="1:19" ht="7.9" customHeight="1" x14ac:dyDescent="0.15">
      <c r="A16" s="32" t="s">
        <v>539</v>
      </c>
      <c r="B16" s="67">
        <v>2507</v>
      </c>
      <c r="C16" s="67">
        <v>1126</v>
      </c>
      <c r="D16" s="67">
        <v>270</v>
      </c>
      <c r="E16" s="67">
        <v>857</v>
      </c>
      <c r="F16" s="67">
        <v>235</v>
      </c>
      <c r="G16" s="142">
        <v>4995</v>
      </c>
      <c r="H16" s="136">
        <v>258596</v>
      </c>
      <c r="I16" s="247"/>
      <c r="J16" s="14"/>
      <c r="K16" s="14"/>
    </row>
    <row r="17" spans="1:26" ht="7.9" customHeight="1" x14ac:dyDescent="0.15">
      <c r="A17" s="32" t="s">
        <v>540</v>
      </c>
      <c r="B17" s="67">
        <v>11459</v>
      </c>
      <c r="C17" s="67">
        <v>6447</v>
      </c>
      <c r="D17" s="67">
        <v>1587</v>
      </c>
      <c r="E17" s="67">
        <v>4955</v>
      </c>
      <c r="F17" s="67">
        <v>1893</v>
      </c>
      <c r="G17" s="142">
        <v>26341</v>
      </c>
      <c r="H17" s="136">
        <v>796586</v>
      </c>
      <c r="I17" s="247"/>
      <c r="J17" s="14"/>
      <c r="K17" s="291"/>
    </row>
    <row r="18" spans="1:26" ht="7.9" customHeight="1" x14ac:dyDescent="0.15">
      <c r="A18" s="32" t="s">
        <v>541</v>
      </c>
      <c r="B18" s="67">
        <v>2754</v>
      </c>
      <c r="C18" s="67">
        <v>1719</v>
      </c>
      <c r="D18" s="67">
        <v>142</v>
      </c>
      <c r="E18" s="67">
        <v>902</v>
      </c>
      <c r="F18" s="67">
        <v>205</v>
      </c>
      <c r="G18" s="142">
        <v>5722</v>
      </c>
      <c r="H18" s="136">
        <v>248617</v>
      </c>
      <c r="I18" s="247"/>
      <c r="J18" s="14"/>
      <c r="K18" s="291"/>
    </row>
    <row r="19" spans="1:26" ht="7.9" customHeight="1" x14ac:dyDescent="0.15">
      <c r="A19" s="32" t="s">
        <v>542</v>
      </c>
      <c r="B19" s="67">
        <v>9305</v>
      </c>
      <c r="C19" s="67">
        <v>5419</v>
      </c>
      <c r="D19" s="67">
        <v>986</v>
      </c>
      <c r="E19" s="67">
        <v>2494</v>
      </c>
      <c r="F19" s="67">
        <v>2515</v>
      </c>
      <c r="G19" s="142">
        <v>20719</v>
      </c>
      <c r="H19" s="136">
        <v>825576</v>
      </c>
      <c r="I19" s="247"/>
      <c r="J19" s="14"/>
      <c r="K19" s="291"/>
    </row>
    <row r="20" spans="1:26" ht="7.9" customHeight="1" x14ac:dyDescent="0.15">
      <c r="B20" s="67"/>
      <c r="C20" s="67"/>
      <c r="D20" s="67"/>
      <c r="E20" s="67"/>
      <c r="F20" s="67"/>
      <c r="G20" s="142"/>
      <c r="H20" s="136"/>
      <c r="I20" s="247"/>
      <c r="J20" s="14"/>
      <c r="K20" s="291"/>
    </row>
    <row r="21" spans="1:26" ht="7.9" customHeight="1" x14ac:dyDescent="0.15">
      <c r="A21" s="918" t="s">
        <v>529</v>
      </c>
      <c r="B21" s="952">
        <v>0.49486323964636503</v>
      </c>
      <c r="C21" s="952">
        <v>0.49919318845057797</v>
      </c>
      <c r="D21" s="952">
        <v>0.49253239622227102</v>
      </c>
      <c r="E21" s="952">
        <v>0.51462381149235203</v>
      </c>
      <c r="F21" s="952">
        <v>0.50466823462333399</v>
      </c>
      <c r="G21" s="952">
        <v>0.49987566678698903</v>
      </c>
      <c r="H21" s="952">
        <v>0.51200000000000001</v>
      </c>
      <c r="I21" s="247"/>
      <c r="K21" s="80"/>
    </row>
    <row r="22" spans="1:26" s="65" customFormat="1" ht="7.9" customHeight="1" thickBot="1" x14ac:dyDescent="0.2">
      <c r="A22" s="1008"/>
      <c r="B22" s="1009"/>
      <c r="C22" s="1009"/>
      <c r="D22" s="1009"/>
      <c r="E22" s="1009"/>
      <c r="F22" s="1009"/>
      <c r="G22" s="1010"/>
      <c r="H22" s="1010"/>
      <c r="I22" s="301"/>
      <c r="J22" s="14"/>
      <c r="K22" s="291"/>
    </row>
    <row r="23" spans="1:26" s="13" customFormat="1" ht="7.9" customHeight="1" thickTop="1" x14ac:dyDescent="0.15">
      <c r="A23" s="55" t="s">
        <v>858</v>
      </c>
      <c r="B23" s="53"/>
      <c r="C23" s="53"/>
      <c r="D23" s="53"/>
      <c r="E23" s="53"/>
      <c r="F23" s="53"/>
      <c r="G23" s="53"/>
      <c r="H23" s="54"/>
      <c r="I23" s="712"/>
      <c r="J23" s="42"/>
      <c r="T23" s="53"/>
      <c r="U23" s="53"/>
      <c r="V23" s="53"/>
      <c r="W23" s="53"/>
      <c r="X23" s="53"/>
      <c r="Y23" s="53"/>
      <c r="Z23" s="53"/>
    </row>
    <row r="24" spans="1:26" ht="7.9" customHeight="1" x14ac:dyDescent="0.15">
      <c r="A24" s="283" t="s">
        <v>130</v>
      </c>
      <c r="B24" s="13"/>
      <c r="C24" s="13"/>
      <c r="D24" s="13"/>
      <c r="E24" s="13"/>
      <c r="F24" s="13"/>
      <c r="G24" s="13"/>
      <c r="H24" s="13"/>
      <c r="I24" s="13"/>
    </row>
    <row r="25" spans="1:26" s="13" customFormat="1" ht="7.9" customHeight="1" x14ac:dyDescent="0.15">
      <c r="T25" s="53"/>
      <c r="U25" s="53"/>
      <c r="V25" s="53"/>
      <c r="W25" s="53"/>
      <c r="X25" s="53"/>
      <c r="Y25" s="53"/>
      <c r="Z25" s="53"/>
    </row>
    <row r="26" spans="1:26" ht="7.9" customHeight="1" x14ac:dyDescent="0.15"/>
    <row r="27" spans="1:26" ht="7.9" customHeight="1" x14ac:dyDescent="0.15"/>
    <row r="28" spans="1:26" ht="7.9" customHeight="1" x14ac:dyDescent="0.15"/>
    <row r="29" spans="1:26" ht="7.9" customHeight="1" x14ac:dyDescent="0.15"/>
    <row r="30" spans="1:26" ht="7.9" customHeight="1" x14ac:dyDescent="0.15"/>
    <row r="31" spans="1:26" ht="7.9" customHeight="1" x14ac:dyDescent="0.15"/>
    <row r="32" spans="1:26" ht="7.9" customHeight="1" x14ac:dyDescent="0.15"/>
    <row r="33" ht="7.9" customHeight="1" x14ac:dyDescent="0.15"/>
    <row r="34" ht="7.9" customHeight="1" x14ac:dyDescent="0.15"/>
    <row r="35"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9"/>
  <dimension ref="A1:Z34"/>
  <sheetViews>
    <sheetView zoomScale="140" zoomScaleNormal="140" workbookViewId="0">
      <selection sqref="A1:G1"/>
    </sheetView>
  </sheetViews>
  <sheetFormatPr baseColWidth="10" defaultRowHeight="9.9499999999999993" customHeight="1" x14ac:dyDescent="0.15"/>
  <cols>
    <col min="1" max="1" width="26.42578125" style="53" customWidth="1"/>
    <col min="2" max="2" width="6.7109375" style="53" customWidth="1"/>
    <col min="3" max="3" width="11.140625" style="53" customWidth="1"/>
    <col min="4" max="4" width="6.7109375" style="53" customWidth="1"/>
    <col min="5" max="5" width="7.5703125" style="53" customWidth="1"/>
    <col min="6" max="6" width="7.28515625" style="53" customWidth="1"/>
    <col min="7" max="7" width="10" style="53" customWidth="1"/>
    <col min="8" max="8" width="9.140625" style="27"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2">
      <c r="A1" s="1019" t="s">
        <v>640</v>
      </c>
      <c r="B1" s="1019"/>
      <c r="C1" s="1019"/>
      <c r="D1" s="1019"/>
      <c r="E1" s="1019"/>
      <c r="F1" s="1019"/>
      <c r="G1" s="1019"/>
      <c r="H1" s="810"/>
      <c r="I1" s="687"/>
    </row>
    <row r="2" spans="1:19" s="46" customFormat="1" ht="9.9499999999999993" customHeight="1" x14ac:dyDescent="0.2">
      <c r="A2" s="1021" t="s">
        <v>845</v>
      </c>
      <c r="B2" s="1021"/>
      <c r="C2" s="1021"/>
      <c r="D2" s="1021"/>
      <c r="E2" s="1021"/>
      <c r="F2" s="1021"/>
      <c r="G2" s="1021"/>
      <c r="H2" s="810"/>
      <c r="I2" s="810"/>
      <c r="J2" s="296"/>
      <c r="K2" s="296"/>
    </row>
    <row r="3" spans="1:19" ht="7.9" customHeight="1" x14ac:dyDescent="0.15">
      <c r="A3" s="56"/>
      <c r="B3" s="57"/>
      <c r="I3" s="13"/>
    </row>
    <row r="4" spans="1:19" s="57" customFormat="1" ht="27" x14ac:dyDescent="0.15">
      <c r="A4" s="58"/>
      <c r="B4" s="22" t="s">
        <v>642</v>
      </c>
      <c r="C4" s="22" t="s">
        <v>993</v>
      </c>
      <c r="D4" s="22" t="s">
        <v>912</v>
      </c>
      <c r="E4" s="22" t="s">
        <v>913</v>
      </c>
      <c r="F4" s="59" t="s">
        <v>643</v>
      </c>
      <c r="G4" s="705" t="s">
        <v>644</v>
      </c>
      <c r="H4" s="297"/>
      <c r="I4" s="298"/>
      <c r="J4" s="59"/>
    </row>
    <row r="5" spans="1:19" ht="7.9" customHeight="1" x14ac:dyDescent="0.15">
      <c r="A5" s="60"/>
      <c r="B5" s="22"/>
      <c r="C5" s="22"/>
      <c r="D5" s="22"/>
      <c r="E5" s="22"/>
      <c r="F5" s="59"/>
      <c r="G5" s="23"/>
      <c r="H5" s="13"/>
      <c r="I5" s="13"/>
      <c r="S5" s="53"/>
    </row>
    <row r="6" spans="1:19" ht="7.9" customHeight="1" x14ac:dyDescent="0.15">
      <c r="A6" s="918" t="s">
        <v>641</v>
      </c>
      <c r="B6" s="982"/>
      <c r="C6" s="981">
        <f t="shared" ref="C6:F6" si="0">SUM(C7:C12)</f>
        <v>22499.510000000002</v>
      </c>
      <c r="D6" s="981">
        <f t="shared" si="0"/>
        <v>9042.3799999999992</v>
      </c>
      <c r="E6" s="981">
        <f t="shared" si="0"/>
        <v>9632.2899999999991</v>
      </c>
      <c r="F6" s="981">
        <f t="shared" si="0"/>
        <v>15514.71</v>
      </c>
      <c r="G6" s="981">
        <f>SUM(G7:G12)</f>
        <v>56688.85</v>
      </c>
      <c r="H6" s="247"/>
      <c r="I6" s="87"/>
      <c r="J6" s="87"/>
      <c r="S6" s="53"/>
    </row>
    <row r="7" spans="1:19" ht="7.9" customHeight="1" x14ac:dyDescent="0.15">
      <c r="A7" s="32" t="s">
        <v>645</v>
      </c>
      <c r="B7" s="136" t="s">
        <v>646</v>
      </c>
      <c r="C7" s="136">
        <v>681.71</v>
      </c>
      <c r="D7" s="136">
        <v>214.24</v>
      </c>
      <c r="E7" s="136">
        <v>279.37</v>
      </c>
      <c r="F7" s="136">
        <v>163.99</v>
      </c>
      <c r="G7" s="166">
        <v>1339.3</v>
      </c>
      <c r="H7" s="247"/>
      <c r="I7" s="87"/>
      <c r="J7" s="299"/>
      <c r="S7" s="53"/>
    </row>
    <row r="8" spans="1:19" ht="7.9" customHeight="1" x14ac:dyDescent="0.15">
      <c r="A8" s="61"/>
      <c r="B8" s="136" t="s">
        <v>647</v>
      </c>
      <c r="C8" s="76">
        <v>2629.36</v>
      </c>
      <c r="D8" s="76">
        <v>876.27</v>
      </c>
      <c r="E8" s="76">
        <v>1360.28</v>
      </c>
      <c r="F8" s="76">
        <v>1089.3900000000001</v>
      </c>
      <c r="G8" s="731">
        <v>5955.29</v>
      </c>
      <c r="H8" s="247"/>
      <c r="I8" s="13"/>
      <c r="J8" s="80"/>
      <c r="S8" s="53"/>
    </row>
    <row r="9" spans="1:19" s="65" customFormat="1" ht="7.9" customHeight="1" x14ac:dyDescent="0.15">
      <c r="A9" s="61" t="s">
        <v>209</v>
      </c>
      <c r="B9" s="136" t="s">
        <v>646</v>
      </c>
      <c r="C9" s="136">
        <v>2651.02</v>
      </c>
      <c r="D9" s="136">
        <v>1534.86</v>
      </c>
      <c r="E9" s="136">
        <v>1339.14</v>
      </c>
      <c r="F9" s="67">
        <v>2228.58</v>
      </c>
      <c r="G9" s="166">
        <v>7753.59</v>
      </c>
      <c r="H9" s="247"/>
      <c r="I9" s="13"/>
      <c r="J9" s="80"/>
      <c r="K9" s="13"/>
      <c r="L9" s="13"/>
      <c r="M9" s="13"/>
      <c r="N9" s="13"/>
      <c r="O9" s="13"/>
      <c r="P9" s="13"/>
      <c r="Q9" s="13"/>
      <c r="R9" s="13"/>
    </row>
    <row r="10" spans="1:19" ht="7.9" customHeight="1" x14ac:dyDescent="0.15">
      <c r="A10" s="32"/>
      <c r="B10" s="136" t="s">
        <v>647</v>
      </c>
      <c r="C10" s="67">
        <v>9029.1200000000008</v>
      </c>
      <c r="D10" s="67">
        <v>4410.71</v>
      </c>
      <c r="E10" s="67">
        <v>4886.38</v>
      </c>
      <c r="F10" s="67">
        <v>8562.7199999999993</v>
      </c>
      <c r="G10" s="166">
        <v>26888.93</v>
      </c>
      <c r="H10" s="247"/>
      <c r="I10" s="13"/>
      <c r="S10" s="53"/>
    </row>
    <row r="11" spans="1:19" ht="7.9" customHeight="1" x14ac:dyDescent="0.15">
      <c r="A11" s="39" t="s">
        <v>648</v>
      </c>
      <c r="B11" s="136" t="s">
        <v>646</v>
      </c>
      <c r="C11" s="67">
        <v>3162.03</v>
      </c>
      <c r="D11" s="67">
        <v>893.7</v>
      </c>
      <c r="E11" s="67">
        <v>1009.38</v>
      </c>
      <c r="F11" s="67">
        <v>1591.99</v>
      </c>
      <c r="G11" s="166">
        <v>6657.1</v>
      </c>
      <c r="H11" s="247"/>
      <c r="I11" s="130"/>
      <c r="J11" s="300"/>
      <c r="S11" s="53"/>
    </row>
    <row r="12" spans="1:19" s="39" customFormat="1" ht="7.9" customHeight="1" x14ac:dyDescent="0.15">
      <c r="B12" s="136" t="s">
        <v>647</v>
      </c>
      <c r="C12" s="67">
        <v>4346.2700000000004</v>
      </c>
      <c r="D12" s="67">
        <v>1112.5999999999999</v>
      </c>
      <c r="E12" s="67">
        <v>757.74</v>
      </c>
      <c r="F12" s="67">
        <v>1878.04</v>
      </c>
      <c r="G12" s="166">
        <v>8094.64</v>
      </c>
      <c r="H12" s="247"/>
    </row>
    <row r="13" spans="1:19" ht="7.9" customHeight="1" x14ac:dyDescent="0.15">
      <c r="A13" s="32"/>
      <c r="B13" s="67"/>
      <c r="C13" s="67"/>
      <c r="D13" s="67"/>
      <c r="E13" s="67"/>
      <c r="F13" s="67"/>
      <c r="G13" s="166"/>
      <c r="H13" s="247"/>
      <c r="I13" s="13"/>
      <c r="S13" s="53"/>
    </row>
    <row r="14" spans="1:19" ht="7.9" customHeight="1" x14ac:dyDescent="0.15">
      <c r="A14" s="918" t="s">
        <v>649</v>
      </c>
      <c r="B14" s="982"/>
      <c r="C14" s="981">
        <f t="shared" ref="C14:G14" si="1">SUM(C15:C20)</f>
        <v>23793.74</v>
      </c>
      <c r="D14" s="981">
        <f t="shared" si="1"/>
        <v>6357.42</v>
      </c>
      <c r="E14" s="981">
        <f t="shared" si="1"/>
        <v>10205.23</v>
      </c>
      <c r="F14" s="981">
        <f t="shared" si="1"/>
        <v>16790.849999999999</v>
      </c>
      <c r="G14" s="981">
        <f t="shared" si="1"/>
        <v>57147.229999999996</v>
      </c>
      <c r="H14" s="247"/>
      <c r="I14" s="13"/>
      <c r="S14" s="53"/>
    </row>
    <row r="15" spans="1:19" ht="7.9" customHeight="1" x14ac:dyDescent="0.15">
      <c r="A15" s="32" t="s">
        <v>645</v>
      </c>
      <c r="B15" s="136" t="s">
        <v>646</v>
      </c>
      <c r="C15" s="67">
        <v>667.14</v>
      </c>
      <c r="D15" s="67">
        <v>158.16999999999999</v>
      </c>
      <c r="E15" s="67">
        <v>396.51</v>
      </c>
      <c r="F15" s="67">
        <v>319.7</v>
      </c>
      <c r="G15" s="166">
        <v>1541.52</v>
      </c>
      <c r="H15" s="247"/>
      <c r="I15" s="13"/>
      <c r="J15" s="14"/>
      <c r="S15" s="53"/>
    </row>
    <row r="16" spans="1:19" ht="7.9" customHeight="1" x14ac:dyDescent="0.15">
      <c r="A16" s="61"/>
      <c r="B16" s="136" t="s">
        <v>647</v>
      </c>
      <c r="C16" s="67">
        <v>2641.33</v>
      </c>
      <c r="D16" s="67">
        <v>708.63</v>
      </c>
      <c r="E16" s="67">
        <v>1841.15</v>
      </c>
      <c r="F16" s="67">
        <v>1551.43</v>
      </c>
      <c r="G16" s="166">
        <v>6742.53</v>
      </c>
      <c r="H16" s="247"/>
      <c r="I16" s="14"/>
      <c r="J16" s="14"/>
      <c r="S16" s="53"/>
    </row>
    <row r="17" spans="1:26" ht="7.9" customHeight="1" x14ac:dyDescent="0.15">
      <c r="A17" s="61" t="s">
        <v>209</v>
      </c>
      <c r="B17" s="136" t="s">
        <v>646</v>
      </c>
      <c r="C17" s="67">
        <v>2003.82</v>
      </c>
      <c r="D17" s="67">
        <v>1016.22</v>
      </c>
      <c r="E17" s="67">
        <v>1446.51</v>
      </c>
      <c r="F17" s="67">
        <v>3523.49</v>
      </c>
      <c r="G17" s="166">
        <v>7990.03</v>
      </c>
      <c r="H17" s="247"/>
      <c r="I17" s="14"/>
      <c r="J17" s="291"/>
      <c r="S17" s="53"/>
    </row>
    <row r="18" spans="1:26" ht="7.9" customHeight="1" x14ac:dyDescent="0.15">
      <c r="A18" s="32"/>
      <c r="B18" s="136" t="s">
        <v>647</v>
      </c>
      <c r="C18" s="67">
        <v>10351.459999999999</v>
      </c>
      <c r="D18" s="67">
        <v>3257.24</v>
      </c>
      <c r="E18" s="67">
        <v>4837.0600000000004</v>
      </c>
      <c r="F18" s="67">
        <v>8762.4699999999993</v>
      </c>
      <c r="G18" s="166">
        <v>27208.240000000002</v>
      </c>
      <c r="H18" s="247"/>
      <c r="I18" s="14"/>
      <c r="J18" s="291"/>
      <c r="S18" s="53"/>
    </row>
    <row r="19" spans="1:26" ht="7.9" customHeight="1" x14ac:dyDescent="0.15">
      <c r="A19" s="39" t="s">
        <v>648</v>
      </c>
      <c r="B19" s="136" t="s">
        <v>646</v>
      </c>
      <c r="C19" s="67">
        <v>3745.93</v>
      </c>
      <c r="D19" s="67">
        <v>691.63</v>
      </c>
      <c r="E19" s="67">
        <v>1015.28</v>
      </c>
      <c r="F19" s="67">
        <v>1592.09</v>
      </c>
      <c r="G19" s="166">
        <v>7044.93</v>
      </c>
      <c r="H19" s="247"/>
      <c r="I19" s="14"/>
      <c r="J19" s="291"/>
      <c r="S19" s="53"/>
    </row>
    <row r="20" spans="1:26" ht="7.9" customHeight="1" x14ac:dyDescent="0.15">
      <c r="A20" s="39"/>
      <c r="B20" s="136" t="s">
        <v>647</v>
      </c>
      <c r="C20" s="67">
        <v>4384.0600000000004</v>
      </c>
      <c r="D20" s="67">
        <v>525.53</v>
      </c>
      <c r="E20" s="67">
        <v>668.72</v>
      </c>
      <c r="F20" s="67">
        <v>1041.67</v>
      </c>
      <c r="G20" s="166">
        <v>6619.98</v>
      </c>
      <c r="H20" s="247"/>
      <c r="I20" s="14"/>
      <c r="J20" s="291"/>
      <c r="S20" s="53"/>
    </row>
    <row r="21" spans="1:26" s="65" customFormat="1" ht="7.9" customHeight="1" thickBot="1" x14ac:dyDescent="0.2">
      <c r="A21" s="1008"/>
      <c r="B21" s="1009"/>
      <c r="C21" s="1009"/>
      <c r="D21" s="1009"/>
      <c r="E21" s="1009"/>
      <c r="F21" s="1009"/>
      <c r="G21" s="1010"/>
      <c r="H21" s="1017"/>
      <c r="I21" s="14"/>
      <c r="J21" s="291"/>
    </row>
    <row r="22" spans="1:26" s="13" customFormat="1" ht="7.9" customHeight="1" thickTop="1" x14ac:dyDescent="0.15">
      <c r="A22" s="55" t="s">
        <v>858</v>
      </c>
      <c r="B22" s="53"/>
      <c r="C22" s="53"/>
      <c r="D22" s="53"/>
      <c r="E22" s="53"/>
      <c r="F22" s="53"/>
      <c r="G22" s="54"/>
      <c r="H22" s="712"/>
      <c r="I22" s="42"/>
      <c r="S22" s="53"/>
      <c r="T22" s="53"/>
      <c r="U22" s="53"/>
      <c r="V22" s="53"/>
      <c r="W22" s="53"/>
      <c r="X22" s="53"/>
      <c r="Y22" s="53"/>
    </row>
    <row r="23" spans="1:26" ht="7.9" customHeight="1" x14ac:dyDescent="0.15">
      <c r="A23" s="462" t="s">
        <v>994</v>
      </c>
      <c r="B23" s="13"/>
      <c r="C23" s="13"/>
      <c r="D23" s="13"/>
      <c r="E23" s="13"/>
      <c r="F23" s="13"/>
      <c r="G23" s="13"/>
      <c r="H23" s="87"/>
      <c r="I23" s="13"/>
    </row>
    <row r="24" spans="1:26" s="13" customFormat="1" ht="7.9" customHeight="1" x14ac:dyDescent="0.15">
      <c r="H24" s="87"/>
      <c r="T24" s="53"/>
      <c r="U24" s="53"/>
      <c r="V24" s="53"/>
      <c r="W24" s="53"/>
      <c r="X24" s="53"/>
      <c r="Y24" s="53"/>
      <c r="Z24" s="53"/>
    </row>
    <row r="25" spans="1:26" ht="7.9" customHeight="1" x14ac:dyDescent="0.15"/>
    <row r="26" spans="1:26" ht="7.9" customHeight="1" x14ac:dyDescent="0.15"/>
    <row r="27" spans="1:26" ht="7.9" customHeight="1" x14ac:dyDescent="0.15"/>
    <row r="28" spans="1:26" ht="7.9" customHeight="1" x14ac:dyDescent="0.15"/>
    <row r="29" spans="1:26" ht="7.9" customHeight="1" x14ac:dyDescent="0.15"/>
    <row r="30" spans="1:26" ht="7.9" customHeight="1" x14ac:dyDescent="0.15"/>
    <row r="31" spans="1:26" ht="7.9" customHeight="1" x14ac:dyDescent="0.15"/>
    <row r="32" spans="1:26" ht="7.9" customHeight="1" x14ac:dyDescent="0.15"/>
    <row r="33" ht="7.9" customHeight="1" x14ac:dyDescent="0.15"/>
    <row r="34"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0"/>
  <dimension ref="A1:Y34"/>
  <sheetViews>
    <sheetView zoomScale="140" zoomScaleNormal="140" workbookViewId="0">
      <selection sqref="A1:G1"/>
    </sheetView>
  </sheetViews>
  <sheetFormatPr baseColWidth="10" defaultRowHeight="9.9499999999999993" customHeight="1" x14ac:dyDescent="0.15"/>
  <cols>
    <col min="1" max="1" width="24.5703125" style="53" customWidth="1"/>
    <col min="2" max="2" width="9.28515625" style="53" bestFit="1" customWidth="1"/>
    <col min="3" max="3" width="13.7109375" style="53" customWidth="1"/>
    <col min="4" max="4" width="6.7109375" style="53" customWidth="1"/>
    <col min="5" max="5" width="7.5703125" style="53" customWidth="1"/>
    <col min="6" max="6" width="7.85546875" style="53" bestFit="1" customWidth="1"/>
    <col min="7" max="7" width="11.7109375" style="53" customWidth="1"/>
    <col min="8" max="8" width="9.7109375" style="53" customWidth="1"/>
    <col min="9" max="9" width="23.42578125" style="13" customWidth="1"/>
    <col min="10" max="10" width="6.42578125" style="13" customWidth="1"/>
    <col min="11" max="11" width="27.7109375" style="13" customWidth="1"/>
    <col min="12" max="15" width="6.7109375" style="13" customWidth="1"/>
    <col min="16" max="16" width="8.28515625" style="13" customWidth="1"/>
    <col min="17" max="18" width="11.42578125" style="13" customWidth="1"/>
    <col min="19" max="16384" width="11.42578125" style="53"/>
  </cols>
  <sheetData>
    <row r="1" spans="1:18" ht="15" customHeight="1" x14ac:dyDescent="0.15">
      <c r="A1" s="1019" t="s">
        <v>650</v>
      </c>
      <c r="B1" s="1019"/>
      <c r="C1" s="1019"/>
      <c r="D1" s="1019"/>
      <c r="E1" s="1019"/>
      <c r="F1" s="1019"/>
      <c r="G1" s="1019"/>
      <c r="H1" s="687"/>
    </row>
    <row r="2" spans="1:18" s="46" customFormat="1" ht="9.9499999999999993" customHeight="1" x14ac:dyDescent="0.2">
      <c r="A2" s="1021" t="s">
        <v>861</v>
      </c>
      <c r="B2" s="1021"/>
      <c r="C2" s="1021"/>
      <c r="D2" s="1021"/>
      <c r="E2" s="1021"/>
      <c r="F2" s="1021"/>
      <c r="G2" s="1021"/>
      <c r="H2" s="810"/>
      <c r="I2" s="296"/>
      <c r="J2" s="296"/>
    </row>
    <row r="3" spans="1:18" ht="7.9" customHeight="1" x14ac:dyDescent="0.15">
      <c r="A3" s="56"/>
      <c r="B3" s="57"/>
      <c r="H3" s="13"/>
    </row>
    <row r="4" spans="1:18" s="57" customFormat="1" ht="26.25" customHeight="1" x14ac:dyDescent="0.15">
      <c r="A4" s="58"/>
      <c r="B4" s="22"/>
      <c r="C4" s="22" t="s">
        <v>993</v>
      </c>
      <c r="D4" s="22" t="s">
        <v>912</v>
      </c>
      <c r="E4" s="22" t="s">
        <v>913</v>
      </c>
      <c r="F4" s="59" t="s">
        <v>643</v>
      </c>
      <c r="G4" s="705" t="s">
        <v>644</v>
      </c>
      <c r="H4" s="298"/>
      <c r="I4" s="59"/>
    </row>
    <row r="5" spans="1:18" ht="7.9" customHeight="1" x14ac:dyDescent="0.15">
      <c r="A5" s="60"/>
      <c r="B5" s="22"/>
      <c r="C5" s="22"/>
      <c r="D5" s="22"/>
      <c r="E5" s="22"/>
      <c r="F5" s="59"/>
      <c r="G5" s="23"/>
      <c r="H5" s="13"/>
      <c r="R5" s="53"/>
    </row>
    <row r="6" spans="1:18" ht="7.9" customHeight="1" x14ac:dyDescent="0.15">
      <c r="A6" s="918" t="s">
        <v>641</v>
      </c>
      <c r="B6" s="982"/>
      <c r="C6" s="983">
        <v>0.29207524899999998</v>
      </c>
      <c r="D6" s="983">
        <v>0.30989896700000003</v>
      </c>
      <c r="E6" s="983">
        <v>0.17687788600000001</v>
      </c>
      <c r="F6" s="983">
        <v>0.22114789700000001</v>
      </c>
      <c r="G6" s="983">
        <v>1</v>
      </c>
      <c r="H6" s="87"/>
      <c r="I6" s="87"/>
      <c r="R6" s="53"/>
    </row>
    <row r="7" spans="1:18" ht="7.9" customHeight="1" x14ac:dyDescent="0.15">
      <c r="A7" s="32" t="s">
        <v>645</v>
      </c>
      <c r="B7" s="136" t="s">
        <v>661</v>
      </c>
      <c r="C7" s="286">
        <v>0.39977912500000001</v>
      </c>
      <c r="D7" s="286">
        <v>0.18569945700000001</v>
      </c>
      <c r="E7" s="286">
        <v>0.279027146</v>
      </c>
      <c r="F7" s="286">
        <v>0.135494272</v>
      </c>
      <c r="G7" s="707">
        <v>1</v>
      </c>
      <c r="H7" s="87"/>
      <c r="I7" s="299"/>
      <c r="R7" s="53"/>
    </row>
    <row r="8" spans="1:18" ht="7.9" customHeight="1" x14ac:dyDescent="0.15">
      <c r="A8" s="61"/>
      <c r="B8" s="136" t="s">
        <v>660</v>
      </c>
      <c r="C8" s="707">
        <v>0.45390762200000001</v>
      </c>
      <c r="D8" s="707">
        <v>0.149494351</v>
      </c>
      <c r="E8" s="707">
        <v>0.22477617</v>
      </c>
      <c r="F8" s="707">
        <v>0.17182185699999999</v>
      </c>
      <c r="G8" s="707">
        <v>1</v>
      </c>
      <c r="H8" s="13"/>
      <c r="I8" s="80"/>
      <c r="R8" s="53"/>
    </row>
    <row r="9" spans="1:18" s="65" customFormat="1" ht="7.9" customHeight="1" x14ac:dyDescent="0.15">
      <c r="A9" s="61" t="s">
        <v>209</v>
      </c>
      <c r="B9" s="136" t="s">
        <v>661</v>
      </c>
      <c r="C9" s="709">
        <v>0.15188351999999999</v>
      </c>
      <c r="D9" s="709">
        <v>0.35059861799999997</v>
      </c>
      <c r="E9" s="709">
        <v>0.19319967599999999</v>
      </c>
      <c r="F9" s="709">
        <v>0.30431817</v>
      </c>
      <c r="G9" s="707">
        <v>1</v>
      </c>
      <c r="H9" s="13"/>
      <c r="I9" s="80"/>
      <c r="J9" s="13"/>
      <c r="K9" s="13"/>
      <c r="L9" s="13"/>
      <c r="M9" s="13"/>
      <c r="N9" s="13"/>
      <c r="O9" s="13"/>
      <c r="P9" s="13"/>
      <c r="Q9" s="13"/>
    </row>
    <row r="10" spans="1:18" ht="7.9" customHeight="1" x14ac:dyDescent="0.15">
      <c r="A10" s="32"/>
      <c r="B10" s="136" t="s">
        <v>660</v>
      </c>
      <c r="C10" s="707">
        <v>0.33716196199999998</v>
      </c>
      <c r="D10" s="707">
        <v>0.171626371</v>
      </c>
      <c r="E10" s="707">
        <v>0.179707481</v>
      </c>
      <c r="F10" s="709">
        <v>0.311504475</v>
      </c>
      <c r="G10" s="707">
        <v>1</v>
      </c>
      <c r="H10" s="13"/>
      <c r="R10" s="53"/>
    </row>
    <row r="11" spans="1:18" ht="7.9" customHeight="1" x14ac:dyDescent="0.15">
      <c r="A11" s="39" t="s">
        <v>648</v>
      </c>
      <c r="B11" s="136" t="s">
        <v>661</v>
      </c>
      <c r="C11" s="709">
        <v>0.421879538</v>
      </c>
      <c r="D11" s="709">
        <v>0.32640693700000001</v>
      </c>
      <c r="E11" s="709">
        <v>0.111370545</v>
      </c>
      <c r="F11" s="709">
        <v>0.14034295999999999</v>
      </c>
      <c r="G11" s="707">
        <v>1</v>
      </c>
      <c r="H11" s="130"/>
      <c r="I11" s="300"/>
      <c r="R11" s="53"/>
    </row>
    <row r="12" spans="1:18" s="39" customFormat="1" ht="7.9" customHeight="1" x14ac:dyDescent="0.25">
      <c r="B12" s="136" t="s">
        <v>660</v>
      </c>
      <c r="C12" s="709">
        <v>0.50897724600000005</v>
      </c>
      <c r="D12" s="709">
        <v>0.13600361699999999</v>
      </c>
      <c r="E12" s="709">
        <v>0.119790615</v>
      </c>
      <c r="F12" s="709">
        <v>0.235228522</v>
      </c>
      <c r="G12" s="707">
        <v>1</v>
      </c>
    </row>
    <row r="13" spans="1:18" ht="7.9" customHeight="1" x14ac:dyDescent="0.15">
      <c r="A13" s="32"/>
      <c r="B13" s="67"/>
      <c r="C13" s="67"/>
      <c r="D13" s="67"/>
      <c r="E13" s="67"/>
      <c r="F13" s="67"/>
      <c r="G13" s="166"/>
      <c r="H13" s="13"/>
      <c r="R13" s="53"/>
    </row>
    <row r="14" spans="1:18" ht="7.9" customHeight="1" x14ac:dyDescent="0.15">
      <c r="A14" s="918" t="s">
        <v>649</v>
      </c>
      <c r="B14" s="982"/>
      <c r="C14" s="983">
        <v>0.36755119400000003</v>
      </c>
      <c r="D14" s="983">
        <v>0.214774141</v>
      </c>
      <c r="E14" s="983">
        <v>0.176305673</v>
      </c>
      <c r="F14" s="983">
        <v>0.241368993</v>
      </c>
      <c r="G14" s="983">
        <v>1</v>
      </c>
      <c r="H14" s="13"/>
      <c r="R14" s="53"/>
    </row>
    <row r="15" spans="1:18" ht="7.9" customHeight="1" x14ac:dyDescent="0.15">
      <c r="A15" s="32" t="s">
        <v>645</v>
      </c>
      <c r="B15" s="136" t="s">
        <v>661</v>
      </c>
      <c r="C15" s="709">
        <v>0.38252205500000003</v>
      </c>
      <c r="D15" s="709">
        <v>0.14237124600000001</v>
      </c>
      <c r="E15" s="709">
        <v>0.30349516199999999</v>
      </c>
      <c r="F15" s="709">
        <v>0.17161158600000001</v>
      </c>
      <c r="G15" s="707">
        <v>1</v>
      </c>
      <c r="H15" s="13"/>
      <c r="I15" s="14"/>
      <c r="R15" s="53"/>
    </row>
    <row r="16" spans="1:18" ht="7.9" customHeight="1" x14ac:dyDescent="0.15">
      <c r="A16" s="61"/>
      <c r="B16" s="136" t="s">
        <v>660</v>
      </c>
      <c r="C16" s="709">
        <v>0.39937711599999998</v>
      </c>
      <c r="D16" s="709">
        <v>0.10463480999999999</v>
      </c>
      <c r="E16" s="709">
        <v>0.27011667</v>
      </c>
      <c r="F16" s="709">
        <v>0.225871403</v>
      </c>
      <c r="G16" s="707">
        <v>1</v>
      </c>
      <c r="H16" s="14"/>
      <c r="I16" s="14"/>
      <c r="R16" s="53"/>
    </row>
    <row r="17" spans="1:25" ht="7.9" customHeight="1" x14ac:dyDescent="0.15">
      <c r="A17" s="61" t="s">
        <v>209</v>
      </c>
      <c r="B17" s="136" t="s">
        <v>661</v>
      </c>
      <c r="C17" s="709">
        <v>0.15394300699999999</v>
      </c>
      <c r="D17" s="709">
        <v>0.25903104599999999</v>
      </c>
      <c r="E17" s="709">
        <v>0.20666120800000001</v>
      </c>
      <c r="F17" s="709">
        <v>0.38036473900000001</v>
      </c>
      <c r="G17" s="707">
        <v>1</v>
      </c>
      <c r="H17" s="14"/>
      <c r="I17" s="291"/>
      <c r="R17" s="53"/>
    </row>
    <row r="18" spans="1:25" ht="7.9" customHeight="1" x14ac:dyDescent="0.15">
      <c r="A18" s="32"/>
      <c r="B18" s="136" t="s">
        <v>660</v>
      </c>
      <c r="C18" s="709">
        <v>0.351019525</v>
      </c>
      <c r="D18" s="709">
        <v>0.121411081</v>
      </c>
      <c r="E18" s="709">
        <v>0.178519285</v>
      </c>
      <c r="F18" s="709">
        <v>0.34905011000000002</v>
      </c>
      <c r="G18" s="707">
        <v>1</v>
      </c>
      <c r="H18" s="14"/>
      <c r="I18" s="291"/>
      <c r="R18" s="53"/>
    </row>
    <row r="19" spans="1:25" ht="7.9" customHeight="1" x14ac:dyDescent="0.15">
      <c r="A19" s="39" t="s">
        <v>648</v>
      </c>
      <c r="B19" s="136" t="s">
        <v>661</v>
      </c>
      <c r="C19" s="709">
        <v>0.58980954399999996</v>
      </c>
      <c r="D19" s="709">
        <v>0.200315148</v>
      </c>
      <c r="E19" s="709">
        <v>0.101239387</v>
      </c>
      <c r="F19" s="709">
        <v>0.108635936</v>
      </c>
      <c r="G19" s="707">
        <v>1</v>
      </c>
      <c r="H19" s="14"/>
      <c r="I19" s="291"/>
      <c r="R19" s="53"/>
    </row>
    <row r="20" spans="1:25" ht="7.9" customHeight="1" x14ac:dyDescent="0.15">
      <c r="A20" s="39"/>
      <c r="B20" s="136" t="s">
        <v>660</v>
      </c>
      <c r="C20" s="709">
        <v>0.59495379000000004</v>
      </c>
      <c r="D20" s="709">
        <v>8.9071937000000004E-2</v>
      </c>
      <c r="E20" s="709">
        <v>0.12323535200000001</v>
      </c>
      <c r="F20" s="709">
        <v>0.19273892000000001</v>
      </c>
      <c r="G20" s="707">
        <v>1</v>
      </c>
      <c r="H20" s="14"/>
      <c r="I20" s="291"/>
      <c r="R20" s="53"/>
    </row>
    <row r="21" spans="1:25" s="65" customFormat="1" ht="7.9" customHeight="1" thickBot="1" x14ac:dyDescent="0.2">
      <c r="A21" s="1008"/>
      <c r="B21" s="1009"/>
      <c r="C21" s="1009"/>
      <c r="D21" s="1009"/>
      <c r="E21" s="1009"/>
      <c r="F21" s="1009"/>
      <c r="G21" s="1010"/>
      <c r="H21" s="14"/>
      <c r="I21" s="291"/>
    </row>
    <row r="22" spans="1:25" s="13" customFormat="1" ht="7.9" customHeight="1" thickTop="1" x14ac:dyDescent="0.15">
      <c r="A22" s="55" t="s">
        <v>858</v>
      </c>
      <c r="B22" s="53"/>
      <c r="C22" s="53"/>
      <c r="D22" s="53"/>
      <c r="E22" s="53"/>
      <c r="F22" s="53"/>
      <c r="G22" s="54"/>
      <c r="H22" s="42"/>
      <c r="R22" s="53"/>
      <c r="S22" s="53"/>
      <c r="T22" s="53"/>
      <c r="U22" s="53"/>
      <c r="V22" s="53"/>
      <c r="W22" s="53"/>
      <c r="X22" s="53"/>
    </row>
    <row r="23" spans="1:25" ht="7.9" customHeight="1" x14ac:dyDescent="0.15">
      <c r="A23" s="462" t="s">
        <v>994</v>
      </c>
      <c r="B23" s="13"/>
      <c r="C23" s="13"/>
      <c r="D23" s="13"/>
      <c r="E23" s="13"/>
      <c r="F23" s="13"/>
      <c r="G23" s="13"/>
      <c r="H23" s="13"/>
    </row>
    <row r="24" spans="1:25" s="13" customFormat="1" ht="7.9" customHeight="1" x14ac:dyDescent="0.15">
      <c r="S24" s="53"/>
      <c r="T24" s="53"/>
      <c r="U24" s="53"/>
      <c r="V24" s="53"/>
      <c r="W24" s="53"/>
      <c r="X24" s="53"/>
      <c r="Y24" s="53"/>
    </row>
    <row r="25" spans="1:25" ht="7.9" customHeight="1" x14ac:dyDescent="0.15">
      <c r="B25" s="136"/>
      <c r="C25" s="709"/>
      <c r="D25" s="709"/>
      <c r="E25" s="709"/>
      <c r="F25" s="709"/>
      <c r="G25" s="709"/>
    </row>
    <row r="26" spans="1:25" ht="7.9" customHeight="1" x14ac:dyDescent="0.15">
      <c r="B26" s="136"/>
      <c r="C26" s="709"/>
      <c r="D26" s="709"/>
      <c r="E26" s="709"/>
      <c r="F26" s="709"/>
      <c r="G26" s="709"/>
    </row>
    <row r="27" spans="1:25" ht="7.9" customHeight="1" x14ac:dyDescent="0.15">
      <c r="B27" s="136"/>
      <c r="C27" s="709"/>
      <c r="D27" s="709"/>
      <c r="E27" s="709"/>
      <c r="F27" s="709"/>
      <c r="G27" s="709"/>
    </row>
    <row r="28" spans="1:25" ht="7.9" customHeight="1" x14ac:dyDescent="0.15">
      <c r="B28" s="136"/>
      <c r="C28" s="709"/>
      <c r="D28" s="709"/>
      <c r="E28" s="709"/>
      <c r="F28" s="709"/>
      <c r="G28" s="709"/>
    </row>
    <row r="29" spans="1:25" ht="7.9" customHeight="1" x14ac:dyDescent="0.15">
      <c r="B29" s="136"/>
      <c r="C29" s="709"/>
      <c r="D29" s="709"/>
      <c r="E29" s="709"/>
      <c r="F29" s="709"/>
      <c r="G29" s="709"/>
    </row>
    <row r="30" spans="1:25" ht="7.9" customHeight="1" x14ac:dyDescent="0.15">
      <c r="B30" s="136"/>
      <c r="C30" s="709"/>
      <c r="D30" s="709"/>
      <c r="E30" s="709"/>
      <c r="F30" s="709"/>
      <c r="G30" s="709"/>
    </row>
    <row r="31" spans="1:25" ht="7.9" customHeight="1" x14ac:dyDescent="0.15"/>
    <row r="32" spans="1:25" ht="7.9" customHeight="1" x14ac:dyDescent="0.15"/>
    <row r="33" ht="7.9" customHeight="1" x14ac:dyDescent="0.15"/>
    <row r="34"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1"/>
  <dimension ref="A1:Z32"/>
  <sheetViews>
    <sheetView zoomScale="140" zoomScaleNormal="140" workbookViewId="0">
      <selection sqref="A1:H1"/>
    </sheetView>
  </sheetViews>
  <sheetFormatPr baseColWidth="10" defaultRowHeight="9.9499999999999993" customHeight="1" x14ac:dyDescent="0.15"/>
  <cols>
    <col min="1" max="1" width="26.42578125" style="53" customWidth="1"/>
    <col min="2" max="4" width="6.7109375" style="53" customWidth="1"/>
    <col min="5" max="5" width="7.5703125" style="53" customWidth="1"/>
    <col min="6" max="6" width="6.7109375" style="53" customWidth="1"/>
    <col min="7" max="7" width="7.42578125" style="53" customWidth="1"/>
    <col min="8" max="8" width="9.140625" style="54"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15">
      <c r="A1" s="1019" t="s">
        <v>651</v>
      </c>
      <c r="B1" s="1019"/>
      <c r="C1" s="1019"/>
      <c r="D1" s="1019"/>
      <c r="E1" s="1019"/>
      <c r="F1" s="1019"/>
      <c r="G1" s="1019"/>
      <c r="H1" s="1019"/>
      <c r="I1" s="687"/>
    </row>
    <row r="2" spans="1:19" s="46" customFormat="1" ht="9.9499999999999993" customHeight="1" x14ac:dyDescent="0.2">
      <c r="A2" s="1021" t="s">
        <v>845</v>
      </c>
      <c r="B2" s="1021"/>
      <c r="C2" s="1021"/>
      <c r="D2" s="1021"/>
      <c r="E2" s="1021"/>
      <c r="F2" s="1021"/>
      <c r="G2" s="1021"/>
      <c r="H2" s="1021"/>
      <c r="I2" s="810"/>
      <c r="J2" s="296"/>
      <c r="K2" s="296"/>
    </row>
    <row r="3" spans="1:19" ht="7.9" customHeight="1" x14ac:dyDescent="0.15">
      <c r="A3" s="56"/>
      <c r="B3" s="57"/>
      <c r="I3" s="13"/>
    </row>
    <row r="4" spans="1:19" s="57" customFormat="1" ht="26.25" customHeight="1" x14ac:dyDescent="0.15">
      <c r="A4" s="58"/>
      <c r="B4" s="1036" t="s">
        <v>652</v>
      </c>
      <c r="C4" s="1036"/>
      <c r="D4" s="1037" t="s">
        <v>653</v>
      </c>
      <c r="E4" s="1037"/>
      <c r="F4" s="1036" t="s">
        <v>595</v>
      </c>
      <c r="G4" s="1036"/>
      <c r="H4" s="1036"/>
      <c r="I4" s="297"/>
      <c r="J4" s="298"/>
      <c r="K4" s="59"/>
    </row>
    <row r="5" spans="1:19" s="174" customFormat="1" ht="26.25" customHeight="1" x14ac:dyDescent="0.15">
      <c r="A5" s="129"/>
      <c r="B5" s="706" t="s">
        <v>661</v>
      </c>
      <c r="C5" s="706" t="s">
        <v>660</v>
      </c>
      <c r="D5" s="706" t="s">
        <v>661</v>
      </c>
      <c r="E5" s="706" t="s">
        <v>660</v>
      </c>
      <c r="F5" s="706" t="s">
        <v>661</v>
      </c>
      <c r="G5" s="706" t="s">
        <v>660</v>
      </c>
      <c r="H5" s="710" t="s">
        <v>381</v>
      </c>
      <c r="I5" s="297"/>
      <c r="K5" s="59"/>
    </row>
    <row r="6" spans="1:19" ht="7.9" customHeight="1" x14ac:dyDescent="0.15">
      <c r="A6" s="918" t="s">
        <v>422</v>
      </c>
      <c r="B6" s="981">
        <v>764742.56</v>
      </c>
      <c r="C6" s="981">
        <v>28854.95</v>
      </c>
      <c r="D6" s="981">
        <v>84875.27</v>
      </c>
      <c r="E6" s="981">
        <v>10004.09</v>
      </c>
      <c r="F6" s="983">
        <v>9.989817421793043E-2</v>
      </c>
      <c r="G6" s="983">
        <v>0.25744562912516622</v>
      </c>
      <c r="H6" s="983">
        <v>0.106788778868267</v>
      </c>
      <c r="I6" s="247"/>
      <c r="K6" s="87"/>
    </row>
    <row r="7" spans="1:19" ht="7.9" customHeight="1" x14ac:dyDescent="0.15">
      <c r="A7" s="32" t="s">
        <v>645</v>
      </c>
      <c r="B7" s="791">
        <v>82866.05</v>
      </c>
      <c r="C7" s="791">
        <v>1968.37</v>
      </c>
      <c r="D7" s="791">
        <v>24002.27</v>
      </c>
      <c r="E7" s="791">
        <v>1328.85</v>
      </c>
      <c r="F7" s="707">
        <v>0.22459668122414575</v>
      </c>
      <c r="G7" s="707">
        <v>0.40302133312305516</v>
      </c>
      <c r="H7" s="708">
        <v>0.22993687499739027</v>
      </c>
      <c r="I7" s="247"/>
      <c r="K7" s="299"/>
    </row>
    <row r="8" spans="1:19" ht="7.9" customHeight="1" x14ac:dyDescent="0.15">
      <c r="A8" s="61" t="s">
        <v>654</v>
      </c>
      <c r="B8" s="791">
        <v>272287.59999999998</v>
      </c>
      <c r="C8" s="76">
        <v>11822.65</v>
      </c>
      <c r="D8" s="76">
        <v>29830.74</v>
      </c>
      <c r="E8" s="76">
        <v>4635.6400000000003</v>
      </c>
      <c r="F8" s="286">
        <v>9.8738593625266199E-2</v>
      </c>
      <c r="G8" s="286">
        <v>0.28165988082601534</v>
      </c>
      <c r="H8" s="708">
        <v>0.10818866405862855</v>
      </c>
      <c r="I8" s="247"/>
      <c r="K8" s="80"/>
    </row>
    <row r="9" spans="1:19" s="65" customFormat="1" ht="7.9" customHeight="1" x14ac:dyDescent="0.15">
      <c r="A9" s="61" t="s">
        <v>655</v>
      </c>
      <c r="B9" s="791">
        <v>404738.71</v>
      </c>
      <c r="C9" s="791">
        <v>14777.92</v>
      </c>
      <c r="D9" s="791">
        <v>30715.13</v>
      </c>
      <c r="E9" s="791">
        <v>4009.42</v>
      </c>
      <c r="F9" s="707">
        <v>7.0535903415158765E-2</v>
      </c>
      <c r="G9" s="709">
        <v>0.21341073297231009</v>
      </c>
      <c r="H9" s="708">
        <v>7.6445182711087536E-2</v>
      </c>
      <c r="I9" s="247"/>
      <c r="K9" s="80"/>
      <c r="L9" s="13"/>
      <c r="M9" s="13"/>
      <c r="N9" s="13"/>
      <c r="O9" s="13"/>
      <c r="P9" s="13"/>
      <c r="Q9" s="13"/>
      <c r="R9" s="13"/>
      <c r="S9" s="13"/>
    </row>
    <row r="10" spans="1:19" ht="7.9" customHeight="1" x14ac:dyDescent="0.15">
      <c r="A10" s="32" t="s">
        <v>656</v>
      </c>
      <c r="B10" s="791">
        <v>4850.21</v>
      </c>
      <c r="C10" s="67">
        <v>286.01</v>
      </c>
      <c r="D10" s="67">
        <v>327.14</v>
      </c>
      <c r="E10" s="67">
        <v>30.18</v>
      </c>
      <c r="F10" s="709">
        <v>6.3186765430191111E-2</v>
      </c>
      <c r="G10" s="709">
        <v>9.5448938929124899E-2</v>
      </c>
      <c r="H10" s="708">
        <v>6.5043669473599894E-2</v>
      </c>
      <c r="I10" s="247"/>
    </row>
    <row r="11" spans="1:19" ht="7.9" customHeight="1" x14ac:dyDescent="0.15">
      <c r="A11" s="32"/>
      <c r="B11" s="67"/>
      <c r="C11" s="67"/>
      <c r="D11" s="67"/>
      <c r="E11" s="67"/>
      <c r="F11" s="709"/>
      <c r="G11" s="709"/>
      <c r="H11" s="708"/>
      <c r="I11" s="247"/>
    </row>
    <row r="12" spans="1:19" ht="7.9" customHeight="1" x14ac:dyDescent="0.15">
      <c r="A12" s="918" t="s">
        <v>423</v>
      </c>
      <c r="B12" s="981">
        <v>705526.4</v>
      </c>
      <c r="C12" s="981">
        <v>21714.04</v>
      </c>
      <c r="D12" s="981">
        <v>89082.63</v>
      </c>
      <c r="E12" s="981">
        <v>11279.62</v>
      </c>
      <c r="F12" s="983">
        <v>0.11210875617660676</v>
      </c>
      <c r="G12" s="983">
        <v>0.34187234759647761</v>
      </c>
      <c r="H12" s="983">
        <v>0.12126863676578914</v>
      </c>
      <c r="I12" s="247"/>
    </row>
    <row r="13" spans="1:19" ht="7.9" customHeight="1" x14ac:dyDescent="0.15">
      <c r="A13" s="32" t="s">
        <v>645</v>
      </c>
      <c r="B13" s="791">
        <v>61782.37</v>
      </c>
      <c r="C13" s="67">
        <v>1617.43</v>
      </c>
      <c r="D13" s="67">
        <v>21545.65</v>
      </c>
      <c r="E13" s="67">
        <v>1431.2</v>
      </c>
      <c r="F13" s="709">
        <v>0.2585642860588791</v>
      </c>
      <c r="G13" s="709">
        <v>0.46945677238628497</v>
      </c>
      <c r="H13" s="708">
        <v>0.26600765368881518</v>
      </c>
      <c r="I13" s="247"/>
      <c r="K13" s="14"/>
    </row>
    <row r="14" spans="1:19" ht="7.9" customHeight="1" x14ac:dyDescent="0.15">
      <c r="A14" s="61" t="s">
        <v>654</v>
      </c>
      <c r="B14" s="791">
        <v>253114.96</v>
      </c>
      <c r="C14" s="67">
        <v>8765.57</v>
      </c>
      <c r="D14" s="67">
        <v>33253.35</v>
      </c>
      <c r="E14" s="67">
        <v>5709.96</v>
      </c>
      <c r="F14" s="709">
        <v>0.11612091435675966</v>
      </c>
      <c r="G14" s="709">
        <v>0.39445602337185587</v>
      </c>
      <c r="H14" s="708">
        <v>0.12951340469527312</v>
      </c>
      <c r="I14" s="247"/>
      <c r="K14" s="14"/>
    </row>
    <row r="15" spans="1:19" ht="7.9" customHeight="1" x14ac:dyDescent="0.15">
      <c r="A15" s="61" t="s">
        <v>655</v>
      </c>
      <c r="B15" s="791">
        <v>386287.18</v>
      </c>
      <c r="C15" s="67">
        <v>11181.1</v>
      </c>
      <c r="D15" s="67">
        <v>33937.81</v>
      </c>
      <c r="E15" s="67">
        <v>4118.5600000000004</v>
      </c>
      <c r="F15" s="709">
        <v>8.0761046600298564E-2</v>
      </c>
      <c r="G15" s="709">
        <v>0.26919291016924562</v>
      </c>
      <c r="H15" s="708">
        <v>8.738051910494618E-2</v>
      </c>
      <c r="I15" s="247"/>
      <c r="K15" s="291"/>
    </row>
    <row r="16" spans="1:19" ht="7.9" customHeight="1" x14ac:dyDescent="0.15">
      <c r="A16" s="32" t="s">
        <v>656</v>
      </c>
      <c r="B16" s="791">
        <v>4341.8900000000003</v>
      </c>
      <c r="C16" s="67">
        <v>149.94999999999999</v>
      </c>
      <c r="D16" s="67">
        <v>345.82</v>
      </c>
      <c r="E16" s="67">
        <v>19.899999999999999</v>
      </c>
      <c r="F16" s="709">
        <v>7.3771628364382613E-2</v>
      </c>
      <c r="G16" s="709">
        <v>0.11716220194289079</v>
      </c>
      <c r="H16" s="708">
        <v>7.5288828135936556E-2</v>
      </c>
      <c r="I16" s="247"/>
      <c r="K16" s="291"/>
    </row>
    <row r="17" spans="1:26" s="65" customFormat="1" ht="7.9" customHeight="1" thickBot="1" x14ac:dyDescent="0.2">
      <c r="A17" s="1008"/>
      <c r="B17" s="1009"/>
      <c r="C17" s="1009"/>
      <c r="D17" s="1009"/>
      <c r="E17" s="1009"/>
      <c r="F17" s="1009"/>
      <c r="G17" s="1010"/>
      <c r="H17" s="1010"/>
      <c r="I17" s="301"/>
      <c r="J17" s="14"/>
      <c r="K17" s="291"/>
    </row>
    <row r="18" spans="1:26" s="13" customFormat="1" ht="7.9" customHeight="1" thickTop="1" x14ac:dyDescent="0.15">
      <c r="A18" s="55" t="s">
        <v>858</v>
      </c>
      <c r="B18" s="53"/>
      <c r="C18" s="53"/>
      <c r="D18" s="53"/>
      <c r="E18" s="53"/>
      <c r="F18" s="53"/>
      <c r="G18" s="53"/>
      <c r="H18" s="54"/>
      <c r="I18" s="712"/>
      <c r="J18" s="42"/>
      <c r="T18" s="53"/>
      <c r="U18" s="53"/>
      <c r="V18" s="53"/>
      <c r="W18" s="53"/>
      <c r="X18" s="53"/>
      <c r="Y18" s="53"/>
      <c r="Z18" s="53"/>
    </row>
    <row r="19" spans="1:26" ht="7.9" customHeight="1" x14ac:dyDescent="0.15">
      <c r="A19" s="462" t="s">
        <v>664</v>
      </c>
      <c r="B19" s="13"/>
      <c r="C19" s="13"/>
      <c r="D19" s="13"/>
      <c r="E19" s="13"/>
      <c r="F19" s="13"/>
      <c r="G19" s="13"/>
      <c r="H19" s="87"/>
      <c r="I19" s="13"/>
    </row>
    <row r="20" spans="1:26" s="13" customFormat="1" ht="7.9" customHeight="1" x14ac:dyDescent="0.15">
      <c r="H20" s="87"/>
      <c r="T20" s="53"/>
      <c r="U20" s="53"/>
      <c r="V20" s="53"/>
      <c r="W20" s="53"/>
      <c r="X20" s="53"/>
      <c r="Y20" s="53"/>
      <c r="Z20" s="53"/>
    </row>
    <row r="21" spans="1:26" ht="7.9" customHeight="1" x14ac:dyDescent="0.15">
      <c r="E21" s="706"/>
    </row>
    <row r="22" spans="1:26" ht="7.9" customHeight="1" x14ac:dyDescent="0.15">
      <c r="E22" s="731"/>
    </row>
    <row r="23" spans="1:26" ht="7.9" customHeight="1" x14ac:dyDescent="0.15">
      <c r="E23" s="730"/>
    </row>
    <row r="24" spans="1:26" ht="7.9" customHeight="1" x14ac:dyDescent="0.15">
      <c r="E24" s="61"/>
    </row>
    <row r="25" spans="1:26" ht="7.9" customHeight="1" x14ac:dyDescent="0.15">
      <c r="E25" s="730"/>
    </row>
    <row r="26" spans="1:26" ht="7.9" customHeight="1" x14ac:dyDescent="0.15">
      <c r="E26" s="67"/>
    </row>
    <row r="27" spans="1:26" ht="7.9" customHeight="1" x14ac:dyDescent="0.15">
      <c r="E27" s="67"/>
    </row>
    <row r="28" spans="1:26" ht="7.9" customHeight="1" x14ac:dyDescent="0.15">
      <c r="E28" s="731"/>
    </row>
    <row r="29" spans="1:26" ht="7.9" customHeight="1" x14ac:dyDescent="0.15">
      <c r="E29" s="67"/>
    </row>
    <row r="30" spans="1:26" ht="7.9" customHeight="1" x14ac:dyDescent="0.15">
      <c r="E30" s="67"/>
    </row>
    <row r="31" spans="1:26" ht="9.9499999999999993" customHeight="1" x14ac:dyDescent="0.15">
      <c r="E31" s="67"/>
    </row>
    <row r="32" spans="1:26" ht="9.9499999999999993" customHeight="1" x14ac:dyDescent="0.15">
      <c r="E32" s="67"/>
    </row>
  </sheetData>
  <mergeCells count="5">
    <mergeCell ref="A1:H1"/>
    <mergeCell ref="A2:H2"/>
    <mergeCell ref="B4:C4"/>
    <mergeCell ref="D4:E4"/>
    <mergeCell ref="F4:H4"/>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2"/>
  <dimension ref="A1:Y30"/>
  <sheetViews>
    <sheetView zoomScale="140" zoomScaleNormal="140" workbookViewId="0">
      <selection sqref="A1:G1"/>
    </sheetView>
  </sheetViews>
  <sheetFormatPr baseColWidth="10" defaultRowHeight="9.9499999999999993" customHeight="1" x14ac:dyDescent="0.15"/>
  <cols>
    <col min="1" max="1" width="26.42578125" style="53" customWidth="1"/>
    <col min="2" max="7" width="6.7109375" style="53" customWidth="1"/>
    <col min="8" max="8" width="9.7109375" style="21" customWidth="1"/>
    <col min="9" max="9" width="23.42578125" style="13" customWidth="1"/>
    <col min="10" max="10" width="6.42578125" style="13" customWidth="1"/>
    <col min="11" max="11" width="27.7109375" style="13" customWidth="1"/>
    <col min="12" max="15" width="6.7109375" style="13" customWidth="1"/>
    <col min="16" max="16" width="8.28515625" style="13" customWidth="1"/>
    <col min="17" max="18" width="11.42578125" style="13" customWidth="1"/>
    <col min="19" max="16384" width="11.42578125" style="53"/>
  </cols>
  <sheetData>
    <row r="1" spans="1:18" ht="15" customHeight="1" x14ac:dyDescent="0.15">
      <c r="A1" s="1019" t="s">
        <v>662</v>
      </c>
      <c r="B1" s="1019"/>
      <c r="C1" s="1019"/>
      <c r="D1" s="1019"/>
      <c r="E1" s="1019"/>
      <c r="F1" s="1019"/>
      <c r="G1" s="1019"/>
      <c r="H1" s="687"/>
      <c r="I1" s="687"/>
    </row>
    <row r="2" spans="1:18" s="46" customFormat="1" ht="9.9499999999999993" customHeight="1" x14ac:dyDescent="0.2">
      <c r="A2" s="1021" t="s">
        <v>845</v>
      </c>
      <c r="B2" s="1021"/>
      <c r="C2" s="1021"/>
      <c r="D2" s="1021"/>
      <c r="E2" s="1021"/>
      <c r="F2" s="1021"/>
      <c r="G2" s="1021"/>
      <c r="H2" s="810"/>
      <c r="I2" s="296"/>
      <c r="J2" s="296"/>
    </row>
    <row r="3" spans="1:18" ht="7.9" customHeight="1" x14ac:dyDescent="0.15">
      <c r="A3" s="56"/>
      <c r="B3" s="56"/>
      <c r="C3" s="57"/>
      <c r="H3" s="13"/>
    </row>
    <row r="4" spans="1:18" s="57" customFormat="1" ht="27" x14ac:dyDescent="0.15">
      <c r="A4" s="58"/>
      <c r="B4" s="22" t="s">
        <v>374</v>
      </c>
      <c r="C4" s="22" t="s">
        <v>384</v>
      </c>
      <c r="D4" s="22" t="s">
        <v>376</v>
      </c>
      <c r="E4" s="22" t="s">
        <v>377</v>
      </c>
      <c r="F4" s="22" t="s">
        <v>378</v>
      </c>
      <c r="G4" s="23" t="s">
        <v>385</v>
      </c>
      <c r="H4" s="298"/>
      <c r="I4" s="59"/>
    </row>
    <row r="5" spans="1:18" ht="7.9" customHeight="1" x14ac:dyDescent="0.15">
      <c r="A5" s="60"/>
      <c r="B5" s="22"/>
      <c r="C5" s="22"/>
      <c r="D5" s="22"/>
      <c r="E5" s="22"/>
      <c r="F5" s="22"/>
      <c r="G5" s="23"/>
      <c r="H5" s="13"/>
      <c r="R5" s="53"/>
    </row>
    <row r="6" spans="1:18" ht="7.9" customHeight="1" x14ac:dyDescent="0.15">
      <c r="A6" s="918" t="s">
        <v>658</v>
      </c>
      <c r="B6" s="981">
        <v>4424.1000000000004</v>
      </c>
      <c r="C6" s="981">
        <v>2478.11</v>
      </c>
      <c r="D6" s="981">
        <v>825.08999999999992</v>
      </c>
      <c r="E6" s="981">
        <v>1440.85</v>
      </c>
      <c r="F6" s="981">
        <v>1077.67</v>
      </c>
      <c r="G6" s="981">
        <f t="shared" ref="G6" si="0">G7+G8</f>
        <v>10245.820000000002</v>
      </c>
      <c r="H6" s="687"/>
      <c r="I6" s="87"/>
      <c r="R6" s="53"/>
    </row>
    <row r="7" spans="1:18" ht="7.9" customHeight="1" x14ac:dyDescent="0.15">
      <c r="A7" s="32" t="s">
        <v>646</v>
      </c>
      <c r="B7" s="136">
        <v>1317.16</v>
      </c>
      <c r="C7" s="136">
        <v>471.71</v>
      </c>
      <c r="D7" s="136">
        <v>390.46</v>
      </c>
      <c r="E7" s="136">
        <v>279.38</v>
      </c>
      <c r="F7" s="136">
        <v>498.48</v>
      </c>
      <c r="G7" s="166">
        <f t="shared" ref="G7:G12" si="1">SUM(B7:F7)</f>
        <v>2957.19</v>
      </c>
      <c r="H7" s="687"/>
      <c r="I7" s="299"/>
      <c r="R7" s="53"/>
    </row>
    <row r="8" spans="1:18" ht="7.9" customHeight="1" x14ac:dyDescent="0.15">
      <c r="A8" s="32" t="s">
        <v>657</v>
      </c>
      <c r="B8" s="76">
        <v>3106.94</v>
      </c>
      <c r="C8" s="76">
        <v>2006.4</v>
      </c>
      <c r="D8" s="76">
        <v>434.63</v>
      </c>
      <c r="E8" s="76">
        <v>1161.47</v>
      </c>
      <c r="F8" s="76">
        <v>579.19000000000005</v>
      </c>
      <c r="G8" s="166">
        <f t="shared" si="1"/>
        <v>7288.630000000001</v>
      </c>
      <c r="H8" s="687"/>
      <c r="I8" s="80"/>
      <c r="R8" s="53"/>
    </row>
    <row r="9" spans="1:18" s="65" customFormat="1" ht="7.9" customHeight="1" x14ac:dyDescent="0.15">
      <c r="A9" s="61"/>
      <c r="B9" s="136"/>
      <c r="C9" s="136"/>
      <c r="D9" s="136"/>
      <c r="E9" s="136"/>
      <c r="F9" s="136"/>
      <c r="G9" s="166"/>
      <c r="H9" s="687"/>
      <c r="I9" s="80"/>
      <c r="J9" s="13"/>
      <c r="K9" s="13"/>
      <c r="L9" s="13"/>
      <c r="M9" s="13"/>
      <c r="N9" s="13"/>
      <c r="O9" s="13"/>
      <c r="P9" s="13"/>
      <c r="Q9" s="13"/>
    </row>
    <row r="10" spans="1:18" ht="7.9" customHeight="1" x14ac:dyDescent="0.15">
      <c r="A10" s="918" t="s">
        <v>659</v>
      </c>
      <c r="B10" s="981">
        <v>4844.5</v>
      </c>
      <c r="C10" s="981">
        <v>3017.05</v>
      </c>
      <c r="D10" s="981">
        <v>815.91000000000008</v>
      </c>
      <c r="E10" s="981">
        <v>1707.35</v>
      </c>
      <c r="F10" s="981">
        <v>1173.1100000000001</v>
      </c>
      <c r="G10" s="981">
        <f t="shared" ref="G10" si="2">G11+G12</f>
        <v>11557.920000000002</v>
      </c>
      <c r="H10" s="687"/>
      <c r="R10" s="53"/>
    </row>
    <row r="11" spans="1:18" ht="7.9" customHeight="1" x14ac:dyDescent="0.15">
      <c r="A11" s="32" t="s">
        <v>646</v>
      </c>
      <c r="B11" s="67">
        <v>1132.4100000000001</v>
      </c>
      <c r="C11" s="67">
        <v>647.44000000000005</v>
      </c>
      <c r="D11" s="67">
        <v>367.79</v>
      </c>
      <c r="E11" s="67">
        <v>291.08</v>
      </c>
      <c r="F11" s="67">
        <v>467.25</v>
      </c>
      <c r="G11" s="166">
        <f t="shared" si="1"/>
        <v>2905.9700000000003</v>
      </c>
      <c r="H11" s="711"/>
      <c r="I11" s="300"/>
      <c r="R11" s="53"/>
    </row>
    <row r="12" spans="1:18" s="39" customFormat="1" ht="7.9" customHeight="1" x14ac:dyDescent="0.25">
      <c r="A12" s="32" t="s">
        <v>657</v>
      </c>
      <c r="B12" s="67">
        <v>3712.09</v>
      </c>
      <c r="C12" s="67">
        <v>2369.61</v>
      </c>
      <c r="D12" s="67">
        <v>448.12</v>
      </c>
      <c r="E12" s="67">
        <v>1416.27</v>
      </c>
      <c r="F12" s="67">
        <v>705.86</v>
      </c>
      <c r="G12" s="166">
        <f t="shared" si="1"/>
        <v>8651.9500000000007</v>
      </c>
      <c r="H12" s="712"/>
    </row>
    <row r="13" spans="1:18" s="39" customFormat="1" ht="7.9" customHeight="1" x14ac:dyDescent="0.25">
      <c r="B13" s="67"/>
      <c r="C13" s="67"/>
      <c r="D13" s="67"/>
      <c r="E13" s="67"/>
      <c r="F13" s="67"/>
      <c r="G13" s="166"/>
      <c r="H13" s="712"/>
    </row>
    <row r="14" spans="1:18" s="39" customFormat="1" ht="7.9" customHeight="1" x14ac:dyDescent="0.25">
      <c r="A14" s="918" t="s">
        <v>107</v>
      </c>
      <c r="B14" s="981">
        <f t="shared" ref="B14:G14" si="3">B15+B16</f>
        <v>9268.6</v>
      </c>
      <c r="C14" s="981">
        <f t="shared" si="3"/>
        <v>5495.16</v>
      </c>
      <c r="D14" s="981">
        <f t="shared" si="3"/>
        <v>1641</v>
      </c>
      <c r="E14" s="981">
        <f t="shared" si="3"/>
        <v>3148.2</v>
      </c>
      <c r="F14" s="981">
        <f t="shared" si="3"/>
        <v>2250.7800000000002</v>
      </c>
      <c r="G14" s="981">
        <f t="shared" si="3"/>
        <v>21803.74</v>
      </c>
      <c r="H14" s="712"/>
    </row>
    <row r="15" spans="1:18" s="39" customFormat="1" ht="7.9" customHeight="1" x14ac:dyDescent="0.25">
      <c r="A15" s="32" t="s">
        <v>646</v>
      </c>
      <c r="B15" s="67">
        <f t="shared" ref="B15:G16" si="4">B7+B11</f>
        <v>2449.5700000000002</v>
      </c>
      <c r="C15" s="67">
        <f t="shared" si="4"/>
        <v>1119.1500000000001</v>
      </c>
      <c r="D15" s="67">
        <f t="shared" si="4"/>
        <v>758.25</v>
      </c>
      <c r="E15" s="67">
        <f t="shared" si="4"/>
        <v>570.46</v>
      </c>
      <c r="F15" s="67">
        <f t="shared" si="4"/>
        <v>965.73</v>
      </c>
      <c r="G15" s="166">
        <f t="shared" si="4"/>
        <v>5863.16</v>
      </c>
      <c r="H15" s="712"/>
    </row>
    <row r="16" spans="1:18" s="39" customFormat="1" ht="7.9" customHeight="1" x14ac:dyDescent="0.25">
      <c r="A16" s="32" t="s">
        <v>657</v>
      </c>
      <c r="B16" s="67">
        <f t="shared" si="4"/>
        <v>6819.0300000000007</v>
      </c>
      <c r="C16" s="67">
        <f t="shared" si="4"/>
        <v>4376.01</v>
      </c>
      <c r="D16" s="67">
        <f t="shared" si="4"/>
        <v>882.75</v>
      </c>
      <c r="E16" s="67">
        <f t="shared" si="4"/>
        <v>2577.7399999999998</v>
      </c>
      <c r="F16" s="67">
        <f t="shared" si="4"/>
        <v>1285.0500000000002</v>
      </c>
      <c r="G16" s="166">
        <f t="shared" si="4"/>
        <v>15940.580000000002</v>
      </c>
      <c r="H16" s="712"/>
    </row>
    <row r="17" spans="1:25" s="65" customFormat="1" ht="7.9" customHeight="1" thickBot="1" x14ac:dyDescent="0.2">
      <c r="A17" s="1008"/>
      <c r="B17" s="1009"/>
      <c r="C17" s="1009"/>
      <c r="D17" s="1009"/>
      <c r="E17" s="1009"/>
      <c r="F17" s="1009"/>
      <c r="G17" s="1010"/>
      <c r="H17" s="1017"/>
      <c r="I17" s="291"/>
    </row>
    <row r="18" spans="1:25" s="13" customFormat="1" ht="7.9" customHeight="1" thickTop="1" x14ac:dyDescent="0.15">
      <c r="A18" s="55" t="s">
        <v>858</v>
      </c>
      <c r="B18" s="53"/>
      <c r="C18" s="53"/>
      <c r="D18" s="53"/>
      <c r="E18" s="53"/>
      <c r="F18" s="53"/>
      <c r="G18" s="53"/>
      <c r="H18" s="811"/>
      <c r="R18" s="53"/>
      <c r="S18" s="53"/>
      <c r="T18" s="53"/>
      <c r="U18" s="53"/>
      <c r="V18" s="53"/>
      <c r="W18" s="53"/>
      <c r="X18" s="53"/>
    </row>
    <row r="19" spans="1:25" ht="7.9" customHeight="1" x14ac:dyDescent="0.15">
      <c r="A19" s="462" t="s">
        <v>663</v>
      </c>
      <c r="B19" s="283"/>
      <c r="C19" s="13"/>
      <c r="D19" s="13"/>
      <c r="E19" s="13"/>
      <c r="F19" s="13"/>
      <c r="G19" s="13"/>
      <c r="H19" s="13"/>
    </row>
    <row r="20" spans="1:25" s="13" customFormat="1" ht="7.9" customHeight="1" x14ac:dyDescent="0.15">
      <c r="S20" s="53"/>
      <c r="T20" s="53"/>
      <c r="U20" s="53"/>
      <c r="V20" s="53"/>
      <c r="W20" s="53"/>
      <c r="X20" s="53"/>
      <c r="Y20" s="53"/>
    </row>
    <row r="21" spans="1:25" ht="7.9" customHeight="1" x14ac:dyDescent="0.15"/>
    <row r="22" spans="1:25" ht="7.9" customHeight="1" x14ac:dyDescent="0.15"/>
    <row r="23" spans="1:25" ht="7.9" customHeight="1" x14ac:dyDescent="0.15"/>
    <row r="24" spans="1:25" ht="7.9" customHeight="1" x14ac:dyDescent="0.15"/>
    <row r="25" spans="1:25" ht="7.9" customHeight="1" x14ac:dyDescent="0.15"/>
    <row r="26" spans="1:25" ht="7.9" customHeight="1" x14ac:dyDescent="0.15"/>
    <row r="27" spans="1:25" ht="7.9" customHeight="1" x14ac:dyDescent="0.15"/>
    <row r="28" spans="1:25" ht="7.9" customHeight="1" x14ac:dyDescent="0.15"/>
    <row r="29" spans="1:25" ht="7.9" customHeight="1" x14ac:dyDescent="0.15"/>
    <row r="30" spans="1:25"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dimension ref="A1:K38"/>
  <sheetViews>
    <sheetView zoomScale="130" zoomScaleNormal="130" workbookViewId="0">
      <selection sqref="A1:H1"/>
    </sheetView>
  </sheetViews>
  <sheetFormatPr baseColWidth="10" defaultRowHeight="9.9499999999999993" customHeight="1" x14ac:dyDescent="0.25"/>
  <cols>
    <col min="1" max="1" width="27.42578125" style="16" customWidth="1"/>
    <col min="2" max="2" width="7" style="16" customWidth="1"/>
    <col min="3" max="6" width="6.7109375" style="16" customWidth="1"/>
    <col min="7" max="7" width="6.85546875" style="16" customWidth="1"/>
    <col min="8" max="8" width="10.28515625" style="16" customWidth="1"/>
    <col min="9" max="9" width="6.5703125" style="238" customWidth="1"/>
    <col min="10" max="11" width="11.42578125" style="238" customWidth="1"/>
    <col min="12" max="16384" width="11.42578125" style="16"/>
  </cols>
  <sheetData>
    <row r="1" spans="1:11" ht="15" customHeight="1" x14ac:dyDescent="0.25">
      <c r="A1" s="1019" t="s">
        <v>141</v>
      </c>
      <c r="B1" s="1019"/>
      <c r="C1" s="1019"/>
      <c r="D1" s="1019"/>
      <c r="E1" s="1019"/>
      <c r="F1" s="1019"/>
      <c r="G1" s="1019"/>
      <c r="H1" s="1019"/>
      <c r="I1" s="626"/>
      <c r="J1" s="626"/>
      <c r="K1" s="626"/>
    </row>
    <row r="2" spans="1:11" ht="9.9499999999999993" customHeight="1" x14ac:dyDescent="0.25">
      <c r="A2" s="1021" t="s">
        <v>859</v>
      </c>
      <c r="B2" s="1021"/>
      <c r="C2" s="1021"/>
      <c r="D2" s="1021"/>
      <c r="E2" s="1021"/>
      <c r="F2" s="1021"/>
      <c r="G2" s="1021"/>
      <c r="H2" s="1021"/>
    </row>
    <row r="3" spans="1:11" ht="7.9" customHeight="1" x14ac:dyDescent="0.25"/>
    <row r="4" spans="1:11" s="220" customFormat="1" ht="20.100000000000001" customHeight="1" x14ac:dyDescent="0.25">
      <c r="A4" s="16"/>
      <c r="B4" s="213" t="s">
        <v>374</v>
      </c>
      <c r="C4" s="213" t="s">
        <v>48</v>
      </c>
      <c r="D4" s="213" t="s">
        <v>376</v>
      </c>
      <c r="E4" s="213" t="s">
        <v>377</v>
      </c>
      <c r="F4" s="213" t="s">
        <v>378</v>
      </c>
      <c r="G4" s="212" t="s">
        <v>95</v>
      </c>
      <c r="H4" s="213" t="s">
        <v>96</v>
      </c>
      <c r="I4" s="272"/>
      <c r="J4" s="272"/>
      <c r="K4" s="272"/>
    </row>
    <row r="5" spans="1:11" ht="7.9" customHeight="1" x14ac:dyDescent="0.25"/>
    <row r="6" spans="1:11" ht="7.9" customHeight="1" x14ac:dyDescent="0.25">
      <c r="A6" s="984" t="s">
        <v>549</v>
      </c>
      <c r="B6" s="985">
        <f>SUM(B7:B9)</f>
        <v>3233</v>
      </c>
      <c r="C6" s="986">
        <f t="shared" ref="C6:F6" si="0">SUM(C7:C9)</f>
        <v>2146</v>
      </c>
      <c r="D6" s="986">
        <f t="shared" si="0"/>
        <v>1115</v>
      </c>
      <c r="E6" s="986">
        <f t="shared" si="0"/>
        <v>1540</v>
      </c>
      <c r="F6" s="986">
        <f t="shared" si="0"/>
        <v>1941</v>
      </c>
      <c r="G6" s="981">
        <f>SUM(G7:G9)</f>
        <v>10192.142652256176</v>
      </c>
      <c r="H6" s="986">
        <f>SUM(H7:H9)</f>
        <v>160608.96996568036</v>
      </c>
    </row>
    <row r="7" spans="1:11" ht="7.9" customHeight="1" x14ac:dyDescent="0.25">
      <c r="A7" s="192" t="s">
        <v>97</v>
      </c>
      <c r="B7" s="430">
        <v>1414</v>
      </c>
      <c r="C7" s="430">
        <v>957</v>
      </c>
      <c r="D7" s="430">
        <v>549</v>
      </c>
      <c r="E7" s="430">
        <v>684</v>
      </c>
      <c r="F7" s="430">
        <v>845</v>
      </c>
      <c r="G7" s="435">
        <v>4610.3921024194033</v>
      </c>
      <c r="H7" s="394">
        <v>66457.418727862154</v>
      </c>
    </row>
    <row r="8" spans="1:11" ht="7.9" customHeight="1" x14ac:dyDescent="0.25">
      <c r="A8" s="192" t="s">
        <v>98</v>
      </c>
      <c r="B8" s="430">
        <v>666</v>
      </c>
      <c r="C8" s="430">
        <v>358</v>
      </c>
      <c r="D8" s="430">
        <v>171</v>
      </c>
      <c r="E8" s="430">
        <v>314</v>
      </c>
      <c r="F8" s="430">
        <v>379</v>
      </c>
      <c r="G8" s="435">
        <v>1921.852529418901</v>
      </c>
      <c r="H8" s="394">
        <v>40599.134683974284</v>
      </c>
    </row>
    <row r="9" spans="1:11" ht="7.9" customHeight="1" x14ac:dyDescent="0.25">
      <c r="A9" s="192" t="s">
        <v>99</v>
      </c>
      <c r="B9" s="430">
        <v>1153</v>
      </c>
      <c r="C9" s="430">
        <v>831</v>
      </c>
      <c r="D9" s="430">
        <v>395</v>
      </c>
      <c r="E9" s="430">
        <v>542</v>
      </c>
      <c r="F9" s="430">
        <v>717</v>
      </c>
      <c r="G9" s="435">
        <v>3659.8980204178711</v>
      </c>
      <c r="H9" s="394">
        <v>53552.416553843905</v>
      </c>
    </row>
    <row r="10" spans="1:11" ht="7.9" customHeight="1" x14ac:dyDescent="0.25">
      <c r="A10" s="221"/>
      <c r="B10" s="221"/>
      <c r="C10" s="222"/>
      <c r="D10" s="222"/>
      <c r="E10" s="222"/>
      <c r="F10" s="222"/>
      <c r="G10" s="437"/>
      <c r="H10" s="222"/>
    </row>
    <row r="11" spans="1:11" ht="7.9" customHeight="1" x14ac:dyDescent="0.25">
      <c r="A11" s="984" t="s">
        <v>706</v>
      </c>
      <c r="B11" s="985">
        <f>SUM(B12,B14,B16)</f>
        <v>418722</v>
      </c>
      <c r="C11" s="986">
        <f t="shared" ref="C11:H11" si="1">SUM(C12,C14,C16)</f>
        <v>231841</v>
      </c>
      <c r="D11" s="986">
        <f t="shared" si="1"/>
        <v>100331</v>
      </c>
      <c r="E11" s="986">
        <f t="shared" si="1"/>
        <v>137846</v>
      </c>
      <c r="F11" s="986">
        <f t="shared" si="1"/>
        <v>200101</v>
      </c>
      <c r="G11" s="981">
        <v>1121088.0846093411</v>
      </c>
      <c r="H11" s="986">
        <f t="shared" si="1"/>
        <v>15599396.546683636</v>
      </c>
      <c r="J11" s="613"/>
      <c r="K11" s="385"/>
    </row>
    <row r="12" spans="1:11" ht="7.9" customHeight="1" x14ac:dyDescent="0.25">
      <c r="A12" s="192" t="s">
        <v>97</v>
      </c>
      <c r="B12" s="431">
        <v>211959</v>
      </c>
      <c r="C12" s="431">
        <v>123106</v>
      </c>
      <c r="D12" s="431">
        <v>52120</v>
      </c>
      <c r="E12" s="431">
        <v>78544</v>
      </c>
      <c r="F12" s="431">
        <v>99283</v>
      </c>
      <c r="G12" s="435">
        <v>573503.91837478767</v>
      </c>
      <c r="H12" s="394">
        <v>8421883.5024051163</v>
      </c>
      <c r="J12" s="365"/>
      <c r="K12" s="240"/>
    </row>
    <row r="13" spans="1:11" ht="7.9" customHeight="1" x14ac:dyDescent="0.25">
      <c r="A13" s="223" t="s">
        <v>100</v>
      </c>
      <c r="B13" s="432">
        <v>28.645162507843498</v>
      </c>
      <c r="C13" s="432">
        <v>28.144038470911248</v>
      </c>
      <c r="D13" s="432">
        <v>26.864927091327708</v>
      </c>
      <c r="E13" s="432">
        <v>29.005398248115704</v>
      </c>
      <c r="F13" s="432">
        <v>28.761217932576571</v>
      </c>
      <c r="G13" s="436">
        <v>28.188837401990799</v>
      </c>
      <c r="H13" s="544">
        <v>29.765868166742798</v>
      </c>
      <c r="J13" s="340"/>
      <c r="K13" s="240"/>
    </row>
    <row r="14" spans="1:11" ht="7.9" customHeight="1" x14ac:dyDescent="0.25">
      <c r="A14" s="192" t="s">
        <v>98</v>
      </c>
      <c r="B14" s="431">
        <v>37883</v>
      </c>
      <c r="C14" s="431">
        <v>17360</v>
      </c>
      <c r="D14" s="431">
        <v>9238</v>
      </c>
      <c r="E14" s="431">
        <v>15630</v>
      </c>
      <c r="F14" s="431">
        <v>18397</v>
      </c>
      <c r="G14" s="435">
        <v>103346.94475984285</v>
      </c>
      <c r="H14" s="394">
        <v>2048073.5770432909</v>
      </c>
      <c r="J14" s="365"/>
      <c r="K14" s="240"/>
    </row>
    <row r="15" spans="1:11" ht="7.9" customHeight="1" x14ac:dyDescent="0.25">
      <c r="A15" s="223" t="s">
        <v>100</v>
      </c>
      <c r="B15" s="434">
        <v>33.435272843314543</v>
      </c>
      <c r="C15" s="434">
        <v>29.062644475265838</v>
      </c>
      <c r="D15" s="434">
        <v>33.470626490353354</v>
      </c>
      <c r="E15" s="434">
        <v>28.670297981416216</v>
      </c>
      <c r="F15" s="434">
        <v>30.128760321034704</v>
      </c>
      <c r="G15" s="436">
        <v>30.185881758049</v>
      </c>
      <c r="H15" s="433">
        <v>30.272616935118499</v>
      </c>
      <c r="J15" s="340"/>
      <c r="K15" s="240"/>
    </row>
    <row r="16" spans="1:11" ht="7.9" customHeight="1" x14ac:dyDescent="0.25">
      <c r="A16" s="192" t="s">
        <v>99</v>
      </c>
      <c r="B16" s="431">
        <v>168880</v>
      </c>
      <c r="C16" s="431">
        <v>91375</v>
      </c>
      <c r="D16" s="431">
        <v>38973</v>
      </c>
      <c r="E16" s="431">
        <v>43672</v>
      </c>
      <c r="F16" s="431">
        <v>82421</v>
      </c>
      <c r="G16" s="435">
        <v>444237.22147471062</v>
      </c>
      <c r="H16" s="394">
        <v>5129439.467235229</v>
      </c>
      <c r="J16" s="365"/>
      <c r="K16" s="240"/>
    </row>
    <row r="17" spans="1:11" ht="7.9" customHeight="1" x14ac:dyDescent="0.25">
      <c r="A17" s="171" t="s">
        <v>708</v>
      </c>
      <c r="B17" s="431">
        <v>483</v>
      </c>
      <c r="C17" s="431">
        <v>319</v>
      </c>
      <c r="D17" s="431">
        <v>122</v>
      </c>
      <c r="E17" s="431">
        <v>207</v>
      </c>
      <c r="F17" s="431">
        <v>221</v>
      </c>
      <c r="G17" s="435">
        <v>1360</v>
      </c>
      <c r="H17" s="402">
        <v>26565</v>
      </c>
      <c r="J17" s="688"/>
      <c r="K17" s="240"/>
    </row>
    <row r="18" spans="1:11" ht="7.9" customHeight="1" x14ac:dyDescent="0.25">
      <c r="A18" s="171" t="s">
        <v>707</v>
      </c>
      <c r="B18" s="431">
        <v>852</v>
      </c>
      <c r="C18" s="431">
        <v>654</v>
      </c>
      <c r="D18" s="431">
        <v>257</v>
      </c>
      <c r="E18" s="431">
        <v>680</v>
      </c>
      <c r="F18" s="431">
        <v>664</v>
      </c>
      <c r="G18" s="435">
        <v>3243.7735069459955</v>
      </c>
      <c r="H18" s="402">
        <v>46206.285120829052</v>
      </c>
      <c r="J18" s="688"/>
      <c r="K18" s="240"/>
    </row>
    <row r="19" spans="1:11" ht="7.9" customHeight="1" x14ac:dyDescent="0.25">
      <c r="A19" s="546" t="s">
        <v>628</v>
      </c>
      <c r="B19" s="542">
        <v>47.100900047370914</v>
      </c>
      <c r="C19" s="542">
        <v>39.410123119015047</v>
      </c>
      <c r="D19" s="542">
        <v>47.201909013932728</v>
      </c>
      <c r="E19" s="542">
        <v>45.640227147829272</v>
      </c>
      <c r="F19" s="542">
        <v>42.028123900462262</v>
      </c>
      <c r="G19" s="543">
        <v>43.187460707567503</v>
      </c>
      <c r="H19" s="544">
        <v>48.359612107557503</v>
      </c>
      <c r="J19" s="690"/>
      <c r="K19" s="240"/>
    </row>
    <row r="20" spans="1:11" ht="7.9" customHeight="1" x14ac:dyDescent="0.25">
      <c r="A20" s="221"/>
      <c r="C20" s="222"/>
      <c r="E20" s="222"/>
      <c r="G20" s="437"/>
      <c r="H20" s="222"/>
    </row>
    <row r="21" spans="1:11" ht="7.9" customHeight="1" x14ac:dyDescent="0.25">
      <c r="A21" s="987" t="s">
        <v>101</v>
      </c>
      <c r="B21" s="988">
        <f>B11/'page 5 Démo'!B15*100</f>
        <v>31.165623897500478</v>
      </c>
      <c r="C21" s="988">
        <f>C11/'page 5 Démo'!C15*100</f>
        <v>28.806923373218524</v>
      </c>
      <c r="D21" s="988">
        <f>D11/'page 5 Démo'!D15*100</f>
        <v>32.598284488920662</v>
      </c>
      <c r="E21" s="988">
        <f>E11/'page 5 Démo'!E15*100</f>
        <v>24.162652587591062</v>
      </c>
      <c r="F21" s="988">
        <f>F11/'page 5 Démo'!F15*100</f>
        <v>30.236739948714153</v>
      </c>
      <c r="G21" s="988">
        <f>G11/'page 5 Démo'!G15*100</f>
        <v>30.394962061048709</v>
      </c>
      <c r="H21" s="988">
        <f>H11/'page 5 Démo'!H15*100</f>
        <v>24.380884513759675</v>
      </c>
    </row>
    <row r="22" spans="1:11" s="114" customFormat="1" ht="7.9" customHeight="1" x14ac:dyDescent="0.25">
      <c r="A22" s="546" t="s">
        <v>100</v>
      </c>
      <c r="B22" s="662">
        <v>29.379269663369179</v>
      </c>
      <c r="C22" s="662">
        <v>28.285578888550955</v>
      </c>
      <c r="D22" s="662">
        <v>27.893074119076548</v>
      </c>
      <c r="E22" s="662">
        <v>29.006902647417821</v>
      </c>
      <c r="F22" s="662">
        <v>28.987036863653</v>
      </c>
      <c r="G22" s="638">
        <v>34.316213910927203</v>
      </c>
      <c r="H22" s="662">
        <v>35.9464658656713</v>
      </c>
      <c r="I22" s="240"/>
      <c r="J22" s="240"/>
      <c r="K22" s="240"/>
    </row>
    <row r="23" spans="1:11" ht="7.9" customHeight="1" x14ac:dyDescent="0.25">
      <c r="A23" s="225"/>
      <c r="C23" s="222"/>
      <c r="E23" s="222"/>
      <c r="G23" s="865"/>
      <c r="H23" s="866"/>
    </row>
    <row r="24" spans="1:11" ht="7.9" customHeight="1" x14ac:dyDescent="0.25">
      <c r="A24" s="984" t="s">
        <v>862</v>
      </c>
      <c r="B24" s="989"/>
      <c r="C24" s="989"/>
      <c r="D24" s="989"/>
      <c r="E24" s="990"/>
      <c r="F24" s="990"/>
      <c r="G24" s="991">
        <v>40</v>
      </c>
      <c r="H24" s="925">
        <v>1159</v>
      </c>
    </row>
    <row r="25" spans="1:11" ht="7.9" customHeight="1" x14ac:dyDescent="0.25">
      <c r="A25" s="223" t="s">
        <v>102</v>
      </c>
      <c r="B25" s="223"/>
      <c r="C25" s="224"/>
      <c r="D25" s="224"/>
      <c r="E25" s="224"/>
      <c r="F25" s="224"/>
      <c r="G25" s="438">
        <f>3/G24</f>
        <v>7.4999999999999997E-2</v>
      </c>
      <c r="H25" s="335">
        <f>231/H24</f>
        <v>0.1993097497842968</v>
      </c>
    </row>
    <row r="26" spans="1:11" ht="7.9" customHeight="1" thickBot="1" x14ac:dyDescent="0.3">
      <c r="A26" s="1008"/>
      <c r="B26" s="1009"/>
      <c r="C26" s="1009"/>
      <c r="D26" s="1009"/>
      <c r="E26" s="1009"/>
      <c r="F26" s="1009"/>
      <c r="G26" s="1010"/>
      <c r="H26" s="1010"/>
    </row>
    <row r="27" spans="1:11" ht="7.9" customHeight="1" thickTop="1" x14ac:dyDescent="0.25">
      <c r="A27" s="128" t="s">
        <v>947</v>
      </c>
      <c r="B27" s="219"/>
      <c r="C27" s="219"/>
      <c r="D27" s="219"/>
      <c r="E27" s="219"/>
      <c r="F27" s="219"/>
      <c r="G27" s="219"/>
      <c r="H27" s="219"/>
    </row>
    <row r="28" spans="1:11" ht="7.9" customHeight="1" x14ac:dyDescent="0.25">
      <c r="A28" s="218" t="s">
        <v>226</v>
      </c>
      <c r="B28" s="218"/>
      <c r="C28" s="218"/>
      <c r="D28" s="218"/>
      <c r="E28" s="218"/>
      <c r="F28" s="218"/>
      <c r="G28" s="218"/>
      <c r="H28" s="218"/>
    </row>
    <row r="29" spans="1:11" ht="7.9" customHeight="1" x14ac:dyDescent="0.25">
      <c r="A29" s="218" t="s">
        <v>227</v>
      </c>
      <c r="C29" s="218"/>
      <c r="D29" s="218"/>
      <c r="E29" s="218"/>
      <c r="F29" s="218"/>
      <c r="G29" s="218"/>
      <c r="H29" s="218"/>
    </row>
    <row r="30" spans="1:11" ht="7.9" customHeight="1" x14ac:dyDescent="0.25">
      <c r="A30" s="118" t="s">
        <v>914</v>
      </c>
      <c r="B30" s="79"/>
      <c r="C30" s="218"/>
      <c r="D30" s="218"/>
      <c r="E30" s="218"/>
      <c r="F30" s="218"/>
      <c r="G30" s="218"/>
      <c r="H30" s="218"/>
    </row>
    <row r="31" spans="1:11" ht="7.9" customHeight="1" x14ac:dyDescent="0.25">
      <c r="A31" s="118" t="s">
        <v>860</v>
      </c>
      <c r="B31" s="79"/>
      <c r="C31" s="218"/>
      <c r="D31" s="218"/>
      <c r="E31" s="218"/>
      <c r="F31" s="218"/>
      <c r="G31" s="218"/>
      <c r="H31" s="218"/>
    </row>
    <row r="32" spans="1:11" ht="7.9" customHeight="1" x14ac:dyDescent="0.25">
      <c r="A32" s="79" t="s">
        <v>629</v>
      </c>
    </row>
    <row r="33" spans="1:6" ht="7.9" customHeight="1" x14ac:dyDescent="0.25"/>
    <row r="34" spans="1:6" ht="7.9" customHeight="1" x14ac:dyDescent="0.25"/>
    <row r="35" spans="1:6" ht="7.9" customHeight="1" x14ac:dyDescent="0.25"/>
    <row r="36" spans="1:6" ht="7.9" customHeight="1" x14ac:dyDescent="0.25"/>
    <row r="37" spans="1:6" ht="7.9" customHeight="1" x14ac:dyDescent="0.25"/>
    <row r="38" spans="1:6" ht="7.9" customHeight="1" x14ac:dyDescent="0.25">
      <c r="A38" s="689"/>
      <c r="B38" s="689"/>
      <c r="C38" s="689"/>
      <c r="D38" s="689"/>
      <c r="E38" s="689"/>
      <c r="F38" s="689"/>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K38"/>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6.5703125" style="238" customWidth="1"/>
    <col min="10" max="11" width="11.42578125" style="238" customWidth="1"/>
    <col min="12" max="16384" width="11.42578125" style="16"/>
  </cols>
  <sheetData>
    <row r="1" spans="1:11" ht="15" customHeight="1" x14ac:dyDescent="0.25">
      <c r="A1" s="1019" t="s">
        <v>119</v>
      </c>
      <c r="B1" s="1019"/>
      <c r="C1" s="1019"/>
      <c r="D1" s="1019"/>
      <c r="E1" s="1019"/>
      <c r="F1" s="1019"/>
      <c r="G1" s="1019"/>
      <c r="H1" s="1019"/>
      <c r="I1" s="626"/>
      <c r="J1" s="240"/>
      <c r="K1" s="240"/>
    </row>
    <row r="2" spans="1:11" ht="9.9499999999999993" customHeight="1" x14ac:dyDescent="0.25">
      <c r="A2" s="1021" t="s">
        <v>863</v>
      </c>
      <c r="B2" s="1021"/>
      <c r="C2" s="1021"/>
      <c r="D2" s="1021"/>
      <c r="E2" s="1021"/>
      <c r="F2" s="1021"/>
      <c r="G2" s="1021"/>
      <c r="H2" s="1021"/>
    </row>
    <row r="3" spans="1:11" s="220" customFormat="1" ht="7.9" customHeight="1" x14ac:dyDescent="0.25">
      <c r="A3" s="16"/>
      <c r="B3" s="16"/>
      <c r="C3" s="16"/>
      <c r="D3" s="16"/>
      <c r="E3" s="16"/>
      <c r="F3" s="16"/>
      <c r="G3" s="16"/>
      <c r="H3" s="16"/>
      <c r="I3" s="272"/>
      <c r="J3" s="272"/>
      <c r="K3" s="272"/>
    </row>
    <row r="4" spans="1:11" ht="20.100000000000001" customHeight="1" x14ac:dyDescent="0.25">
      <c r="B4" s="303" t="s">
        <v>374</v>
      </c>
      <c r="C4" s="303" t="s">
        <v>48</v>
      </c>
      <c r="D4" s="303" t="s">
        <v>376</v>
      </c>
      <c r="E4" s="303" t="s">
        <v>377</v>
      </c>
      <c r="F4" s="303" t="s">
        <v>378</v>
      </c>
      <c r="G4" s="439" t="s">
        <v>385</v>
      </c>
      <c r="H4" s="440" t="s">
        <v>380</v>
      </c>
      <c r="J4" s="272"/>
      <c r="K4" s="272"/>
    </row>
    <row r="5" spans="1:11" ht="7.9" customHeight="1" x14ac:dyDescent="0.25">
      <c r="G5" s="156"/>
      <c r="H5" s="156"/>
    </row>
    <row r="6" spans="1:11" ht="7.9" customHeight="1" x14ac:dyDescent="0.25">
      <c r="A6" s="984" t="s">
        <v>323</v>
      </c>
      <c r="B6" s="992">
        <f t="shared" ref="B6:H6" si="0">SUM(B7:B10)</f>
        <v>113</v>
      </c>
      <c r="C6" s="992">
        <f t="shared" si="0"/>
        <v>63</v>
      </c>
      <c r="D6" s="992">
        <f t="shared" si="0"/>
        <v>19</v>
      </c>
      <c r="E6" s="992">
        <f t="shared" si="0"/>
        <v>37</v>
      </c>
      <c r="F6" s="992">
        <f t="shared" si="0"/>
        <v>53</v>
      </c>
      <c r="G6" s="993">
        <f t="shared" si="0"/>
        <v>285</v>
      </c>
      <c r="H6" s="994">
        <f t="shared" si="0"/>
        <v>6099</v>
      </c>
    </row>
    <row r="7" spans="1:11" ht="7.9" customHeight="1" x14ac:dyDescent="0.25">
      <c r="A7" s="183" t="s">
        <v>309</v>
      </c>
      <c r="B7" s="421">
        <v>16</v>
      </c>
      <c r="C7" s="421">
        <v>7</v>
      </c>
      <c r="D7" s="421">
        <v>3</v>
      </c>
      <c r="E7" s="421">
        <v>2</v>
      </c>
      <c r="F7" s="421">
        <v>3</v>
      </c>
      <c r="G7" s="424">
        <f>SUM(B7:F7)</f>
        <v>31</v>
      </c>
      <c r="H7" s="421">
        <v>770</v>
      </c>
    </row>
    <row r="8" spans="1:11" ht="7.9" customHeight="1" x14ac:dyDescent="0.25">
      <c r="A8" s="183" t="s">
        <v>310</v>
      </c>
      <c r="B8" s="421">
        <v>39</v>
      </c>
      <c r="C8" s="421">
        <v>25</v>
      </c>
      <c r="D8" s="421">
        <v>4</v>
      </c>
      <c r="E8" s="421">
        <v>15</v>
      </c>
      <c r="F8" s="421">
        <v>14</v>
      </c>
      <c r="G8" s="424">
        <f>SUM(B8:F8)</f>
        <v>97</v>
      </c>
      <c r="H8" s="421">
        <v>2144</v>
      </c>
    </row>
    <row r="9" spans="1:11" ht="7.9" customHeight="1" x14ac:dyDescent="0.25">
      <c r="A9" s="183" t="s">
        <v>120</v>
      </c>
      <c r="B9" s="421">
        <v>57</v>
      </c>
      <c r="C9" s="421">
        <v>31</v>
      </c>
      <c r="D9" s="421">
        <v>11</v>
      </c>
      <c r="E9" s="421">
        <v>20</v>
      </c>
      <c r="F9" s="421">
        <v>35</v>
      </c>
      <c r="G9" s="424">
        <f>SUM(B9:F9)</f>
        <v>154</v>
      </c>
      <c r="H9" s="421">
        <v>3021</v>
      </c>
    </row>
    <row r="10" spans="1:11" ht="7.9" customHeight="1" x14ac:dyDescent="0.25">
      <c r="A10" s="183" t="s">
        <v>121</v>
      </c>
      <c r="B10" s="421">
        <v>1</v>
      </c>
      <c r="C10" s="421">
        <v>0</v>
      </c>
      <c r="D10" s="421">
        <v>1</v>
      </c>
      <c r="E10" s="421">
        <v>0</v>
      </c>
      <c r="F10" s="421">
        <v>1</v>
      </c>
      <c r="G10" s="424">
        <f>SUM(B10:F10)</f>
        <v>3</v>
      </c>
      <c r="H10" s="421">
        <v>164</v>
      </c>
    </row>
    <row r="11" spans="1:11" ht="7.9" customHeight="1" x14ac:dyDescent="0.25">
      <c r="B11" s="306"/>
      <c r="C11" s="306"/>
      <c r="D11" s="306"/>
      <c r="E11" s="306"/>
      <c r="F11" s="306"/>
      <c r="G11" s="442"/>
      <c r="H11" s="443"/>
    </row>
    <row r="12" spans="1:11" ht="7.9" customHeight="1" x14ac:dyDescent="0.25">
      <c r="A12" s="984" t="s">
        <v>325</v>
      </c>
      <c r="B12" s="992">
        <v>151</v>
      </c>
      <c r="C12" s="992">
        <v>60</v>
      </c>
      <c r="D12" s="992">
        <v>25</v>
      </c>
      <c r="E12" s="992">
        <v>38</v>
      </c>
      <c r="F12" s="992">
        <v>53</v>
      </c>
      <c r="G12" s="993">
        <f>SUM(B12:F12)</f>
        <v>327</v>
      </c>
      <c r="H12" s="994">
        <v>6954</v>
      </c>
    </row>
    <row r="13" spans="1:11" ht="7.9" customHeight="1" x14ac:dyDescent="0.25">
      <c r="A13" s="183"/>
      <c r="B13" s="306"/>
      <c r="C13" s="306"/>
      <c r="D13" s="306"/>
      <c r="E13" s="306"/>
      <c r="F13" s="306"/>
      <c r="G13" s="442"/>
      <c r="H13" s="443"/>
    </row>
    <row r="14" spans="1:11" ht="7.9" customHeight="1" x14ac:dyDescent="0.25">
      <c r="A14" s="984" t="s">
        <v>324</v>
      </c>
      <c r="B14" s="992">
        <v>11</v>
      </c>
      <c r="C14" s="992">
        <v>3</v>
      </c>
      <c r="D14" s="992">
        <v>0</v>
      </c>
      <c r="E14" s="992">
        <v>0</v>
      </c>
      <c r="F14" s="992">
        <v>2</v>
      </c>
      <c r="G14" s="993">
        <v>16</v>
      </c>
      <c r="H14" s="994">
        <v>307</v>
      </c>
    </row>
    <row r="15" spans="1:11" ht="7.9" customHeight="1" x14ac:dyDescent="0.25">
      <c r="A15" s="183"/>
      <c r="B15" s="306"/>
      <c r="C15" s="306"/>
      <c r="D15" s="306"/>
      <c r="E15" s="306"/>
      <c r="F15" s="306"/>
      <c r="G15" s="442"/>
      <c r="H15" s="443"/>
    </row>
    <row r="16" spans="1:11" ht="7.9" customHeight="1" x14ac:dyDescent="0.25">
      <c r="A16" s="984" t="s">
        <v>311</v>
      </c>
      <c r="B16" s="992">
        <f t="shared" ref="B16:H16" si="1">B6+B12+B14</f>
        <v>275</v>
      </c>
      <c r="C16" s="992">
        <f t="shared" si="1"/>
        <v>126</v>
      </c>
      <c r="D16" s="992">
        <f t="shared" si="1"/>
        <v>44</v>
      </c>
      <c r="E16" s="992">
        <f t="shared" si="1"/>
        <v>75</v>
      </c>
      <c r="F16" s="992">
        <f t="shared" si="1"/>
        <v>108</v>
      </c>
      <c r="G16" s="993">
        <f t="shared" si="1"/>
        <v>628</v>
      </c>
      <c r="H16" s="994">
        <f t="shared" si="1"/>
        <v>13360</v>
      </c>
    </row>
    <row r="17" spans="1:9" ht="7.9" customHeight="1" x14ac:dyDescent="0.25">
      <c r="A17" s="183"/>
      <c r="B17" s="306"/>
      <c r="C17" s="306"/>
      <c r="D17" s="306"/>
      <c r="E17" s="306"/>
      <c r="F17" s="306"/>
      <c r="G17" s="442"/>
      <c r="H17" s="443"/>
    </row>
    <row r="18" spans="1:9" ht="7.9" customHeight="1" x14ac:dyDescent="0.25">
      <c r="A18" s="984" t="s">
        <v>622</v>
      </c>
      <c r="B18" s="992"/>
      <c r="C18" s="992"/>
      <c r="D18" s="992"/>
      <c r="E18" s="992"/>
      <c r="F18" s="992"/>
      <c r="G18" s="993"/>
      <c r="H18" s="994"/>
    </row>
    <row r="19" spans="1:9" ht="7.9" customHeight="1" x14ac:dyDescent="0.25">
      <c r="A19" s="984" t="s">
        <v>709</v>
      </c>
      <c r="B19" s="992">
        <f t="shared" ref="B19:H19" si="2">SUM(B20:B23)</f>
        <v>21</v>
      </c>
      <c r="C19" s="992">
        <f t="shared" si="2"/>
        <v>7</v>
      </c>
      <c r="D19" s="992">
        <f t="shared" si="2"/>
        <v>0</v>
      </c>
      <c r="E19" s="992">
        <f t="shared" si="2"/>
        <v>4</v>
      </c>
      <c r="F19" s="992">
        <f t="shared" si="2"/>
        <v>1</v>
      </c>
      <c r="G19" s="993">
        <f t="shared" si="2"/>
        <v>33</v>
      </c>
      <c r="H19" s="994">
        <f t="shared" si="2"/>
        <v>473</v>
      </c>
    </row>
    <row r="20" spans="1:9" ht="7.9" customHeight="1" x14ac:dyDescent="0.25">
      <c r="A20" s="183" t="s">
        <v>122</v>
      </c>
      <c r="B20" s="421">
        <v>3</v>
      </c>
      <c r="C20" s="421">
        <v>3</v>
      </c>
      <c r="D20" s="421">
        <v>0</v>
      </c>
      <c r="E20" s="421">
        <v>0</v>
      </c>
      <c r="F20" s="421">
        <v>0</v>
      </c>
      <c r="G20" s="424">
        <f>SUM(B20:F20)</f>
        <v>6</v>
      </c>
      <c r="H20" s="421">
        <v>96</v>
      </c>
    </row>
    <row r="21" spans="1:9" ht="7.9" customHeight="1" x14ac:dyDescent="0.25">
      <c r="A21" s="183" t="s">
        <v>517</v>
      </c>
      <c r="B21" s="421">
        <v>2</v>
      </c>
      <c r="C21" s="421">
        <v>1</v>
      </c>
      <c r="D21" s="421">
        <v>0</v>
      </c>
      <c r="E21" s="421">
        <v>2</v>
      </c>
      <c r="F21" s="421">
        <v>0</v>
      </c>
      <c r="G21" s="424">
        <f t="shared" ref="G21:G23" si="3">SUM(B21:F21)</f>
        <v>5</v>
      </c>
      <c r="H21" s="421">
        <v>45</v>
      </c>
    </row>
    <row r="22" spans="1:9" ht="7.9" customHeight="1" x14ac:dyDescent="0.25">
      <c r="A22" s="183" t="s">
        <v>527</v>
      </c>
      <c r="B22" s="421">
        <v>1</v>
      </c>
      <c r="C22" s="421">
        <v>0</v>
      </c>
      <c r="D22" s="421">
        <v>0</v>
      </c>
      <c r="E22" s="421">
        <v>1</v>
      </c>
      <c r="F22" s="421">
        <v>1</v>
      </c>
      <c r="G22" s="424">
        <f t="shared" si="3"/>
        <v>3</v>
      </c>
      <c r="H22" s="421">
        <v>35</v>
      </c>
    </row>
    <row r="23" spans="1:9" ht="7.9" customHeight="1" x14ac:dyDescent="0.25">
      <c r="A23" s="171" t="s">
        <v>123</v>
      </c>
      <c r="B23" s="421">
        <v>15</v>
      </c>
      <c r="C23" s="421">
        <v>3</v>
      </c>
      <c r="D23" s="421">
        <v>0</v>
      </c>
      <c r="E23" s="421">
        <v>1</v>
      </c>
      <c r="F23" s="421">
        <v>0</v>
      </c>
      <c r="G23" s="424">
        <f t="shared" si="3"/>
        <v>19</v>
      </c>
      <c r="H23" s="421">
        <v>297</v>
      </c>
    </row>
    <row r="24" spans="1:9" ht="7.9" customHeight="1" thickBot="1" x14ac:dyDescent="0.3">
      <c r="A24" s="1008"/>
      <c r="B24" s="1009"/>
      <c r="C24" s="1009"/>
      <c r="D24" s="1009"/>
      <c r="E24" s="1009"/>
      <c r="F24" s="1009"/>
      <c r="G24" s="1010"/>
      <c r="H24" s="1010"/>
    </row>
    <row r="25" spans="1:9" ht="7.9" customHeight="1" thickTop="1" x14ac:dyDescent="0.25">
      <c r="A25" s="32" t="s">
        <v>949</v>
      </c>
      <c r="B25" s="128"/>
      <c r="C25" s="128"/>
      <c r="D25" s="128"/>
      <c r="E25" s="128"/>
      <c r="F25" s="128"/>
      <c r="G25" s="128"/>
      <c r="H25" s="128"/>
      <c r="I25" s="240"/>
    </row>
    <row r="26" spans="1:9" ht="7.9" customHeight="1" x14ac:dyDescent="0.25">
      <c r="A26" s="79"/>
      <c r="I26" s="240"/>
    </row>
    <row r="27" spans="1:9" ht="7.9" customHeight="1" x14ac:dyDescent="0.25">
      <c r="A27" s="32"/>
    </row>
    <row r="28" spans="1:9" ht="7.9" customHeight="1" x14ac:dyDescent="0.25"/>
    <row r="29" spans="1:9" ht="7.9" customHeight="1" x14ac:dyDescent="0.25"/>
    <row r="30" spans="1:9" ht="7.9" customHeight="1" x14ac:dyDescent="0.25"/>
    <row r="31" spans="1:9" ht="7.9" customHeight="1" x14ac:dyDescent="0.25"/>
    <row r="32" spans="1:9" ht="7.9" customHeight="1" x14ac:dyDescent="0.25"/>
    <row r="33" ht="7.9" customHeight="1" x14ac:dyDescent="0.25"/>
    <row r="34" ht="7.9" customHeight="1" x14ac:dyDescent="0.25"/>
    <row r="35" ht="7.9" customHeight="1" x14ac:dyDescent="0.25"/>
    <row r="36" ht="7.9" customHeight="1" x14ac:dyDescent="0.25"/>
    <row r="37" ht="7.9" customHeight="1" x14ac:dyDescent="0.25"/>
    <row r="38" ht="7.9" customHeight="1" x14ac:dyDescent="0.2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dimension ref="A1:M35"/>
  <sheetViews>
    <sheetView zoomScale="140" zoomScaleNormal="140" workbookViewId="0">
      <selection sqref="A1:H1"/>
    </sheetView>
  </sheetViews>
  <sheetFormatPr baseColWidth="10" defaultRowHeight="9.9499999999999993" customHeight="1" x14ac:dyDescent="0.25"/>
  <cols>
    <col min="1" max="1" width="28.140625" style="549" customWidth="1"/>
    <col min="2" max="2" width="6.42578125" style="549" customWidth="1"/>
    <col min="3" max="3" width="6.5703125" style="549" customWidth="1"/>
    <col min="4" max="4" width="6.42578125" style="549" bestFit="1" customWidth="1"/>
    <col min="5" max="6" width="6.140625" style="549" customWidth="1"/>
    <col min="7" max="7" width="6.5703125" style="549" customWidth="1"/>
    <col min="8" max="8" width="9.7109375" style="549" customWidth="1"/>
    <col min="9" max="9" width="6.5703125" style="548" customWidth="1"/>
    <col min="10" max="11" width="11.42578125" style="548" customWidth="1"/>
    <col min="12" max="16384" width="11.42578125" style="549"/>
  </cols>
  <sheetData>
    <row r="1" spans="1:13" ht="15" customHeight="1" x14ac:dyDescent="0.25">
      <c r="A1" s="1038" t="s">
        <v>124</v>
      </c>
      <c r="B1" s="1038"/>
      <c r="C1" s="1038"/>
      <c r="D1" s="1038"/>
      <c r="E1" s="1038"/>
      <c r="F1" s="1038"/>
      <c r="G1" s="1038"/>
      <c r="H1" s="1038"/>
      <c r="I1" s="626"/>
      <c r="J1" s="240"/>
      <c r="K1" s="240"/>
      <c r="L1" s="640"/>
      <c r="M1" s="640"/>
    </row>
    <row r="2" spans="1:13" ht="9.9499999999999993" customHeight="1" x14ac:dyDescent="0.25">
      <c r="A2" s="1039" t="s">
        <v>864</v>
      </c>
      <c r="B2" s="1039"/>
      <c r="C2" s="1039"/>
      <c r="D2" s="1039"/>
      <c r="E2" s="1039"/>
      <c r="F2" s="1039"/>
      <c r="G2" s="1039"/>
      <c r="H2" s="1039"/>
      <c r="I2" s="547"/>
    </row>
    <row r="3" spans="1:13" ht="7.9" customHeight="1" x14ac:dyDescent="0.25">
      <c r="I3" s="550"/>
    </row>
    <row r="4" spans="1:13" ht="20.100000000000001" customHeight="1" x14ac:dyDescent="0.25">
      <c r="B4" s="551" t="s">
        <v>374</v>
      </c>
      <c r="C4" s="551" t="s">
        <v>48</v>
      </c>
      <c r="D4" s="551" t="s">
        <v>376</v>
      </c>
      <c r="E4" s="551" t="s">
        <v>377</v>
      </c>
      <c r="F4" s="551" t="s">
        <v>378</v>
      </c>
      <c r="G4" s="552" t="s">
        <v>385</v>
      </c>
      <c r="H4" s="551" t="s">
        <v>380</v>
      </c>
      <c r="J4" s="550"/>
      <c r="K4" s="550"/>
    </row>
    <row r="5" spans="1:13" ht="7.9" customHeight="1" x14ac:dyDescent="0.25"/>
    <row r="6" spans="1:13" ht="7.9" customHeight="1" x14ac:dyDescent="0.25">
      <c r="A6" s="995" t="s">
        <v>326</v>
      </c>
      <c r="B6" s="996">
        <v>1213</v>
      </c>
      <c r="C6" s="996">
        <v>868</v>
      </c>
      <c r="D6" s="996">
        <v>521</v>
      </c>
      <c r="E6" s="996">
        <v>1216</v>
      </c>
      <c r="F6" s="996">
        <v>966</v>
      </c>
      <c r="G6" s="996">
        <f>SUM(B6:F6)</f>
        <v>4784</v>
      </c>
      <c r="H6" s="996">
        <v>59836</v>
      </c>
    </row>
    <row r="7" spans="1:13" ht="7.9" customHeight="1" x14ac:dyDescent="0.25">
      <c r="A7" s="553" t="s">
        <v>551</v>
      </c>
      <c r="B7" s="562">
        <v>467</v>
      </c>
      <c r="C7" s="563">
        <v>253</v>
      </c>
      <c r="D7" s="563">
        <v>211</v>
      </c>
      <c r="E7" s="563">
        <v>266</v>
      </c>
      <c r="F7" s="563">
        <v>230</v>
      </c>
      <c r="G7" s="564">
        <f>SUM(B7:F7)</f>
        <v>1427</v>
      </c>
      <c r="H7" s="555">
        <v>11902</v>
      </c>
      <c r="I7" s="550"/>
    </row>
    <row r="8" spans="1:13" ht="7.9" customHeight="1" x14ac:dyDescent="0.25">
      <c r="A8" s="553" t="s">
        <v>552</v>
      </c>
      <c r="B8" s="554">
        <v>586</v>
      </c>
      <c r="C8" s="554">
        <v>505</v>
      </c>
      <c r="D8" s="554">
        <v>248</v>
      </c>
      <c r="E8" s="554">
        <v>855</v>
      </c>
      <c r="F8" s="554">
        <v>657</v>
      </c>
      <c r="G8" s="564">
        <f>SUM(B8:F8)</f>
        <v>2851</v>
      </c>
      <c r="H8" s="555">
        <v>29467</v>
      </c>
      <c r="I8" s="550"/>
    </row>
    <row r="9" spans="1:13" ht="7.9" customHeight="1" x14ac:dyDescent="0.25">
      <c r="A9" s="553" t="s">
        <v>553</v>
      </c>
      <c r="B9" s="562">
        <v>7</v>
      </c>
      <c r="C9" s="563">
        <v>1</v>
      </c>
      <c r="D9" s="563">
        <v>0</v>
      </c>
      <c r="E9" s="563">
        <v>0</v>
      </c>
      <c r="F9" s="563">
        <v>15</v>
      </c>
      <c r="G9" s="564">
        <f>SUM(B9:F9)</f>
        <v>23</v>
      </c>
      <c r="H9" s="563">
        <v>64</v>
      </c>
      <c r="I9" s="550"/>
    </row>
    <row r="10" spans="1:13" ht="7.9" customHeight="1" x14ac:dyDescent="0.25">
      <c r="A10" s="556"/>
      <c r="B10" s="566"/>
      <c r="C10" s="567"/>
      <c r="D10" s="568"/>
      <c r="E10" s="567"/>
      <c r="F10" s="567"/>
      <c r="G10" s="569"/>
      <c r="H10" s="567"/>
      <c r="I10" s="550"/>
    </row>
    <row r="11" spans="1:13" ht="7.9" customHeight="1" x14ac:dyDescent="0.25">
      <c r="A11" s="995" t="s">
        <v>125</v>
      </c>
      <c r="B11" s="996">
        <v>5285</v>
      </c>
      <c r="C11" s="996">
        <v>4551</v>
      </c>
      <c r="D11" s="996">
        <v>2120</v>
      </c>
      <c r="E11" s="996">
        <v>3743</v>
      </c>
      <c r="F11" s="996">
        <v>3073</v>
      </c>
      <c r="G11" s="996">
        <f>SUM(B11:F11)</f>
        <v>18772</v>
      </c>
      <c r="H11" s="996">
        <v>271099</v>
      </c>
    </row>
    <row r="12" spans="1:13" ht="7.9" customHeight="1" x14ac:dyDescent="0.25">
      <c r="A12" s="553" t="s">
        <v>554</v>
      </c>
      <c r="B12" s="554">
        <v>766</v>
      </c>
      <c r="C12" s="554">
        <v>784</v>
      </c>
      <c r="D12" s="554">
        <v>456</v>
      </c>
      <c r="E12" s="554">
        <v>617</v>
      </c>
      <c r="F12" s="554">
        <v>522</v>
      </c>
      <c r="G12" s="570">
        <f>SUM(B12:F12)</f>
        <v>3145</v>
      </c>
      <c r="H12" s="555">
        <v>43358</v>
      </c>
      <c r="I12" s="550"/>
    </row>
    <row r="13" spans="1:13" ht="7.9" customHeight="1" x14ac:dyDescent="0.25">
      <c r="A13" s="553" t="s">
        <v>916</v>
      </c>
      <c r="B13" s="554">
        <v>993</v>
      </c>
      <c r="C13" s="554">
        <v>773</v>
      </c>
      <c r="D13" s="554">
        <v>338</v>
      </c>
      <c r="E13" s="554">
        <v>569</v>
      </c>
      <c r="F13" s="554">
        <v>704</v>
      </c>
      <c r="G13" s="570">
        <f>SUM(B13:F13)</f>
        <v>3377</v>
      </c>
      <c r="H13" s="555">
        <v>54128</v>
      </c>
      <c r="I13" s="550"/>
    </row>
    <row r="14" spans="1:13" ht="7.9" customHeight="1" x14ac:dyDescent="0.25">
      <c r="A14" s="558" t="s">
        <v>555</v>
      </c>
      <c r="B14" s="571">
        <v>367</v>
      </c>
      <c r="C14" s="572">
        <v>318</v>
      </c>
      <c r="D14" s="572">
        <v>144</v>
      </c>
      <c r="E14" s="572">
        <v>164</v>
      </c>
      <c r="F14" s="572">
        <v>259</v>
      </c>
      <c r="G14" s="639">
        <f t="shared" ref="G14:G25" si="0">SUM(B14:F14)</f>
        <v>1252</v>
      </c>
      <c r="H14" s="573">
        <v>14127</v>
      </c>
      <c r="I14" s="550"/>
    </row>
    <row r="15" spans="1:13" ht="7.9" customHeight="1" x14ac:dyDescent="0.25">
      <c r="A15" s="562" t="s">
        <v>556</v>
      </c>
      <c r="B15" s="554">
        <v>143</v>
      </c>
      <c r="C15" s="554">
        <v>97</v>
      </c>
      <c r="D15" s="554">
        <v>38</v>
      </c>
      <c r="E15" s="554">
        <v>83</v>
      </c>
      <c r="F15" s="554">
        <v>88</v>
      </c>
      <c r="G15" s="570">
        <f t="shared" si="0"/>
        <v>449</v>
      </c>
      <c r="H15" s="555">
        <v>6084</v>
      </c>
      <c r="I15" s="550"/>
    </row>
    <row r="16" spans="1:13" s="548" customFormat="1" ht="7.9" customHeight="1" x14ac:dyDescent="0.25">
      <c r="A16" s="571" t="s">
        <v>557</v>
      </c>
      <c r="B16" s="571">
        <v>36</v>
      </c>
      <c r="C16" s="572">
        <v>18</v>
      </c>
      <c r="D16" s="572">
        <v>5</v>
      </c>
      <c r="E16" s="572">
        <v>20</v>
      </c>
      <c r="F16" s="572">
        <v>21</v>
      </c>
      <c r="G16" s="639">
        <f t="shared" si="0"/>
        <v>100</v>
      </c>
      <c r="H16" s="573">
        <v>1473</v>
      </c>
      <c r="I16" s="550"/>
    </row>
    <row r="17" spans="1:9" s="548" customFormat="1" ht="7.9" customHeight="1" x14ac:dyDescent="0.25">
      <c r="A17" s="553" t="s">
        <v>558</v>
      </c>
      <c r="B17" s="562">
        <v>498</v>
      </c>
      <c r="C17" s="563">
        <v>351</v>
      </c>
      <c r="D17" s="563">
        <v>145</v>
      </c>
      <c r="E17" s="563">
        <v>169</v>
      </c>
      <c r="F17" s="563">
        <v>291</v>
      </c>
      <c r="G17" s="570">
        <f t="shared" si="0"/>
        <v>1454</v>
      </c>
      <c r="H17" s="565">
        <v>18209</v>
      </c>
      <c r="I17" s="550"/>
    </row>
    <row r="18" spans="1:9" s="548" customFormat="1" ht="7.9" customHeight="1" x14ac:dyDescent="0.25">
      <c r="A18" s="562" t="s">
        <v>559</v>
      </c>
      <c r="B18" s="562">
        <v>95</v>
      </c>
      <c r="C18" s="563">
        <v>84</v>
      </c>
      <c r="D18" s="563">
        <v>27</v>
      </c>
      <c r="E18" s="563">
        <v>61</v>
      </c>
      <c r="F18" s="563">
        <v>70</v>
      </c>
      <c r="G18" s="570">
        <f t="shared" si="0"/>
        <v>337</v>
      </c>
      <c r="H18" s="565">
        <v>6339</v>
      </c>
      <c r="I18" s="550"/>
    </row>
    <row r="19" spans="1:9" s="548" customFormat="1" ht="7.9" customHeight="1" x14ac:dyDescent="0.25">
      <c r="A19" s="553" t="s">
        <v>560</v>
      </c>
      <c r="B19" s="562">
        <v>65</v>
      </c>
      <c r="C19" s="563">
        <v>40</v>
      </c>
      <c r="D19" s="563">
        <v>22</v>
      </c>
      <c r="E19" s="563">
        <v>23</v>
      </c>
      <c r="F19" s="563">
        <v>29</v>
      </c>
      <c r="G19" s="570">
        <f t="shared" si="0"/>
        <v>179</v>
      </c>
      <c r="H19" s="565">
        <v>2412</v>
      </c>
      <c r="I19" s="550"/>
    </row>
    <row r="20" spans="1:9" s="548" customFormat="1" ht="7.9" customHeight="1" x14ac:dyDescent="0.25">
      <c r="A20" s="553" t="s">
        <v>561</v>
      </c>
      <c r="B20" s="562">
        <v>387</v>
      </c>
      <c r="C20" s="563">
        <v>257</v>
      </c>
      <c r="D20" s="563">
        <v>204</v>
      </c>
      <c r="E20" s="563">
        <v>295</v>
      </c>
      <c r="F20" s="563">
        <v>167</v>
      </c>
      <c r="G20" s="570">
        <f t="shared" si="0"/>
        <v>1310</v>
      </c>
      <c r="H20" s="565">
        <v>22173</v>
      </c>
      <c r="I20" s="550"/>
    </row>
    <row r="21" spans="1:9" s="548" customFormat="1" ht="7.9" customHeight="1" x14ac:dyDescent="0.25">
      <c r="A21" s="553" t="s">
        <v>562</v>
      </c>
      <c r="B21" s="562">
        <v>354</v>
      </c>
      <c r="C21" s="563">
        <v>227</v>
      </c>
      <c r="D21" s="563">
        <v>53</v>
      </c>
      <c r="E21" s="563">
        <v>238</v>
      </c>
      <c r="F21" s="563">
        <v>157</v>
      </c>
      <c r="G21" s="570">
        <f t="shared" si="0"/>
        <v>1029</v>
      </c>
      <c r="H21" s="565">
        <v>15538</v>
      </c>
      <c r="I21" s="550"/>
    </row>
    <row r="22" spans="1:9" s="548" customFormat="1" ht="7.9" customHeight="1" x14ac:dyDescent="0.25">
      <c r="A22" s="553" t="s">
        <v>1035</v>
      </c>
      <c r="B22" s="554">
        <v>418</v>
      </c>
      <c r="C22" s="554">
        <v>797</v>
      </c>
      <c r="D22" s="554">
        <v>464</v>
      </c>
      <c r="E22" s="554">
        <v>592</v>
      </c>
      <c r="F22" s="554">
        <v>390</v>
      </c>
      <c r="G22" s="570">
        <f t="shared" si="0"/>
        <v>2661</v>
      </c>
      <c r="H22" s="555">
        <v>28948</v>
      </c>
      <c r="I22" s="550"/>
    </row>
    <row r="23" spans="1:9" s="548" customFormat="1" ht="7.9" customHeight="1" x14ac:dyDescent="0.25">
      <c r="A23" s="558" t="s">
        <v>563</v>
      </c>
      <c r="B23" s="571">
        <v>50</v>
      </c>
      <c r="C23" s="572">
        <v>325</v>
      </c>
      <c r="D23" s="572">
        <v>3</v>
      </c>
      <c r="E23" s="572">
        <v>35</v>
      </c>
      <c r="F23" s="572">
        <v>97</v>
      </c>
      <c r="G23" s="639">
        <f t="shared" si="0"/>
        <v>510</v>
      </c>
      <c r="H23" s="572">
        <v>791</v>
      </c>
      <c r="I23" s="550"/>
    </row>
    <row r="24" spans="1:9" s="548" customFormat="1" ht="7.9" customHeight="1" x14ac:dyDescent="0.25">
      <c r="A24" s="553" t="s">
        <v>564</v>
      </c>
      <c r="B24" s="562">
        <v>10</v>
      </c>
      <c r="C24" s="563">
        <v>5</v>
      </c>
      <c r="D24" s="563">
        <v>2</v>
      </c>
      <c r="E24" s="563">
        <v>3</v>
      </c>
      <c r="F24" s="563">
        <v>6</v>
      </c>
      <c r="G24" s="570">
        <f t="shared" si="0"/>
        <v>26</v>
      </c>
      <c r="H24" s="565">
        <v>458</v>
      </c>
      <c r="I24" s="550"/>
    </row>
    <row r="25" spans="1:9" s="548" customFormat="1" ht="7.9" customHeight="1" x14ac:dyDescent="0.25">
      <c r="A25" s="553" t="s">
        <v>565</v>
      </c>
      <c r="B25" s="562">
        <v>90</v>
      </c>
      <c r="C25" s="563">
        <v>49</v>
      </c>
      <c r="D25" s="563">
        <v>17</v>
      </c>
      <c r="E25" s="563">
        <v>41</v>
      </c>
      <c r="F25" s="563">
        <v>59</v>
      </c>
      <c r="G25" s="570">
        <f t="shared" si="0"/>
        <v>256</v>
      </c>
      <c r="H25" s="565">
        <v>3178</v>
      </c>
      <c r="I25" s="550"/>
    </row>
    <row r="26" spans="1:9" s="548" customFormat="1" ht="7.9" customHeight="1" x14ac:dyDescent="0.25">
      <c r="A26" s="556"/>
      <c r="B26" s="556"/>
      <c r="C26" s="549"/>
      <c r="D26" s="557"/>
      <c r="E26" s="557"/>
      <c r="F26" s="549"/>
      <c r="G26" s="559"/>
      <c r="H26" s="557"/>
      <c r="I26" s="550"/>
    </row>
    <row r="27" spans="1:9" s="548" customFormat="1" ht="7.9" customHeight="1" x14ac:dyDescent="0.25">
      <c r="A27" s="995" t="s">
        <v>327</v>
      </c>
      <c r="B27" s="996">
        <f>B6+B11</f>
        <v>6498</v>
      </c>
      <c r="C27" s="996">
        <f t="shared" ref="C27:H27" si="1">C6+C11</f>
        <v>5419</v>
      </c>
      <c r="D27" s="996">
        <f t="shared" si="1"/>
        <v>2641</v>
      </c>
      <c r="E27" s="996">
        <f t="shared" si="1"/>
        <v>4959</v>
      </c>
      <c r="F27" s="996">
        <f t="shared" si="1"/>
        <v>4039</v>
      </c>
      <c r="G27" s="996">
        <f t="shared" si="1"/>
        <v>23556</v>
      </c>
      <c r="H27" s="996">
        <f t="shared" si="1"/>
        <v>330935</v>
      </c>
    </row>
    <row r="28" spans="1:9" s="548" customFormat="1" ht="7.9" customHeight="1" thickBot="1" x14ac:dyDescent="0.3">
      <c r="A28" s="1008"/>
      <c r="B28" s="1009"/>
      <c r="C28" s="1009"/>
      <c r="D28" s="1009"/>
      <c r="E28" s="1009"/>
      <c r="F28" s="1009"/>
      <c r="G28" s="1010"/>
      <c r="H28" s="1010"/>
      <c r="I28" s="574"/>
    </row>
    <row r="29" spans="1:9" s="548" customFormat="1" ht="7.9" customHeight="1" thickTop="1" x14ac:dyDescent="0.25">
      <c r="A29" s="560" t="s">
        <v>950</v>
      </c>
      <c r="B29" s="560"/>
      <c r="C29" s="560"/>
      <c r="D29" s="560"/>
      <c r="E29" s="560"/>
      <c r="F29" s="560"/>
      <c r="G29" s="560"/>
      <c r="H29" s="560"/>
      <c r="I29" s="574"/>
    </row>
    <row r="30" spans="1:9" s="548" customFormat="1" ht="7.9" customHeight="1" x14ac:dyDescent="0.15">
      <c r="A30" s="462" t="s">
        <v>1034</v>
      </c>
      <c r="B30" s="549"/>
      <c r="C30" s="549"/>
      <c r="D30" s="549"/>
      <c r="E30" s="549"/>
      <c r="F30" s="549"/>
      <c r="G30" s="549"/>
      <c r="H30" s="549"/>
      <c r="I30" s="550"/>
    </row>
    <row r="31" spans="1:9" s="548" customFormat="1" ht="7.9" customHeight="1" x14ac:dyDescent="0.15">
      <c r="A31" s="462" t="s">
        <v>1036</v>
      </c>
      <c r="B31" s="549"/>
      <c r="C31" s="549"/>
      <c r="D31" s="549"/>
      <c r="E31" s="549"/>
      <c r="F31" s="549"/>
      <c r="G31" s="549"/>
      <c r="H31" s="549"/>
    </row>
    <row r="32" spans="1:9" ht="7.9" customHeight="1" x14ac:dyDescent="0.25">
      <c r="B32" s="561"/>
    </row>
    <row r="33" ht="7.9" customHeight="1" x14ac:dyDescent="0.25"/>
    <row r="34" ht="7.9" customHeight="1" x14ac:dyDescent="0.25"/>
    <row r="35" ht="7.9" customHeight="1" x14ac:dyDescent="0.25"/>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dimension ref="A1:L37"/>
  <sheetViews>
    <sheetView zoomScale="140" zoomScaleNormal="140" workbookViewId="0">
      <selection sqref="A1:H1"/>
    </sheetView>
  </sheetViews>
  <sheetFormatPr baseColWidth="10" defaultRowHeight="9.9499999999999993" customHeight="1" x14ac:dyDescent="0.25"/>
  <cols>
    <col min="1" max="1" width="26.7109375" style="16" customWidth="1"/>
    <col min="2" max="3" width="6.7109375" style="16" customWidth="1"/>
    <col min="4" max="4" width="5.7109375" style="16" bestFit="1" customWidth="1"/>
    <col min="5" max="6" width="5.7109375" style="16" customWidth="1"/>
    <col min="7" max="7" width="6.85546875" style="16" customWidth="1"/>
    <col min="8" max="8" width="9.28515625" style="16" customWidth="1"/>
    <col min="9" max="9" width="6.5703125" style="238" customWidth="1"/>
    <col min="10" max="11" width="11.42578125" style="238" customWidth="1"/>
    <col min="12" max="16384" width="11.42578125" style="16"/>
  </cols>
  <sheetData>
    <row r="1" spans="1:12" ht="15" customHeight="1" x14ac:dyDescent="0.25">
      <c r="A1" s="1019" t="s">
        <v>126</v>
      </c>
      <c r="B1" s="1019"/>
      <c r="C1" s="1019"/>
      <c r="D1" s="1019"/>
      <c r="E1" s="1019"/>
      <c r="F1" s="1019"/>
      <c r="G1" s="1019"/>
      <c r="H1" s="1019"/>
    </row>
    <row r="2" spans="1:12" ht="9.9499999999999993" customHeight="1" x14ac:dyDescent="0.25">
      <c r="A2" s="1021" t="s">
        <v>865</v>
      </c>
      <c r="B2" s="1021"/>
      <c r="C2" s="1021"/>
      <c r="D2" s="1021"/>
      <c r="E2" s="1021"/>
      <c r="F2" s="1021"/>
      <c r="G2" s="1021"/>
      <c r="H2" s="1021"/>
    </row>
    <row r="3" spans="1:12" ht="7.9" customHeight="1" x14ac:dyDescent="0.25"/>
    <row r="4" spans="1:12" ht="20.100000000000001" customHeight="1" x14ac:dyDescent="0.25">
      <c r="B4" s="303" t="s">
        <v>374</v>
      </c>
      <c r="C4" s="303" t="s">
        <v>48</v>
      </c>
      <c r="D4" s="303" t="s">
        <v>376</v>
      </c>
      <c r="E4" s="303" t="s">
        <v>377</v>
      </c>
      <c r="F4" s="303" t="s">
        <v>378</v>
      </c>
      <c r="G4" s="304" t="s">
        <v>385</v>
      </c>
      <c r="H4" s="303" t="s">
        <v>380</v>
      </c>
    </row>
    <row r="5" spans="1:12" ht="7.9" customHeight="1" x14ac:dyDescent="0.25"/>
    <row r="6" spans="1:12" ht="7.9" customHeight="1" x14ac:dyDescent="0.15">
      <c r="A6" s="183" t="s">
        <v>348</v>
      </c>
      <c r="B6" s="444">
        <v>352</v>
      </c>
      <c r="C6" s="444">
        <v>270</v>
      </c>
      <c r="D6" s="444">
        <v>14</v>
      </c>
      <c r="E6" s="444">
        <v>189</v>
      </c>
      <c r="F6" s="444">
        <v>192</v>
      </c>
      <c r="G6" s="446">
        <v>1017</v>
      </c>
      <c r="H6" s="393">
        <v>19050</v>
      </c>
    </row>
    <row r="7" spans="1:12" ht="7.9" customHeight="1" x14ac:dyDescent="0.15">
      <c r="A7" s="183" t="s">
        <v>349</v>
      </c>
      <c r="B7" s="444">
        <v>2231</v>
      </c>
      <c r="C7" s="444">
        <v>1333</v>
      </c>
      <c r="D7" s="444">
        <v>370</v>
      </c>
      <c r="E7" s="444">
        <v>656</v>
      </c>
      <c r="F7" s="444">
        <v>846</v>
      </c>
      <c r="G7" s="446">
        <v>5436</v>
      </c>
      <c r="H7" s="393">
        <v>80455</v>
      </c>
    </row>
    <row r="8" spans="1:12" ht="7.9" customHeight="1" x14ac:dyDescent="0.15">
      <c r="A8" s="183" t="s">
        <v>350</v>
      </c>
      <c r="B8" s="444">
        <v>126</v>
      </c>
      <c r="C8" s="444">
        <v>42</v>
      </c>
      <c r="D8" s="444">
        <v>7</v>
      </c>
      <c r="E8" s="444">
        <v>46</v>
      </c>
      <c r="F8" s="444">
        <v>45</v>
      </c>
      <c r="G8" s="446">
        <v>266</v>
      </c>
      <c r="H8" s="393">
        <v>6144</v>
      </c>
    </row>
    <row r="9" spans="1:12" ht="7.9" customHeight="1" x14ac:dyDescent="0.15">
      <c r="A9" s="183" t="s">
        <v>351</v>
      </c>
      <c r="B9" s="444">
        <v>118</v>
      </c>
      <c r="C9" s="444">
        <v>42</v>
      </c>
      <c r="D9" s="444">
        <v>7</v>
      </c>
      <c r="E9" s="444">
        <v>33</v>
      </c>
      <c r="F9" s="444">
        <v>33</v>
      </c>
      <c r="G9" s="446">
        <v>233</v>
      </c>
      <c r="H9" s="393">
        <v>7980</v>
      </c>
    </row>
    <row r="10" spans="1:12" ht="7.9" customHeight="1" x14ac:dyDescent="0.25">
      <c r="A10" s="226"/>
      <c r="B10" s="447"/>
      <c r="C10" s="156"/>
      <c r="D10" s="448"/>
      <c r="E10" s="156"/>
      <c r="F10" s="448"/>
      <c r="G10" s="156"/>
      <c r="H10" s="227"/>
    </row>
    <row r="11" spans="1:12" ht="7.9" customHeight="1" x14ac:dyDescent="0.15">
      <c r="A11" s="183" t="s">
        <v>197</v>
      </c>
      <c r="B11" s="545">
        <v>116</v>
      </c>
      <c r="C11" s="545">
        <v>67</v>
      </c>
      <c r="D11" s="545">
        <v>13</v>
      </c>
      <c r="E11" s="545">
        <v>13</v>
      </c>
      <c r="F11" s="545">
        <v>32</v>
      </c>
      <c r="G11" s="442">
        <v>241</v>
      </c>
      <c r="H11" s="307">
        <v>8474</v>
      </c>
      <c r="I11" s="240"/>
    </row>
    <row r="12" spans="1:12" ht="7.9" customHeight="1" x14ac:dyDescent="0.25">
      <c r="A12" s="984" t="s">
        <v>352</v>
      </c>
      <c r="B12" s="997">
        <f>SUM(B6:B11)</f>
        <v>2943</v>
      </c>
      <c r="C12" s="993">
        <f>SUM(C6:C11)</f>
        <v>1754</v>
      </c>
      <c r="D12" s="993">
        <f>SUM(D6:D11)</f>
        <v>411</v>
      </c>
      <c r="E12" s="993">
        <f>SUM(E6:E11)</f>
        <v>937</v>
      </c>
      <c r="F12" s="993">
        <f>SUM(F6:F11)</f>
        <v>1148</v>
      </c>
      <c r="G12" s="993">
        <f>SUM(B12:F12)</f>
        <v>7193</v>
      </c>
      <c r="H12" s="992">
        <f>SUM(H6:H11)</f>
        <v>122103</v>
      </c>
      <c r="L12" s="183"/>
    </row>
    <row r="13" spans="1:12" ht="7.9" customHeight="1" x14ac:dyDescent="0.25">
      <c r="A13" s="228"/>
      <c r="B13" s="449"/>
      <c r="C13" s="156"/>
      <c r="D13" s="450"/>
      <c r="E13" s="156"/>
      <c r="F13" s="450"/>
      <c r="G13" s="156"/>
      <c r="H13" s="229"/>
      <c r="L13" s="183"/>
    </row>
    <row r="14" spans="1:12" ht="7.9" customHeight="1" x14ac:dyDescent="0.15">
      <c r="A14" s="183" t="s">
        <v>353</v>
      </c>
      <c r="B14" s="445">
        <v>59</v>
      </c>
      <c r="C14" s="445">
        <v>245</v>
      </c>
      <c r="D14" s="445">
        <v>13</v>
      </c>
      <c r="E14" s="445">
        <v>16</v>
      </c>
      <c r="F14" s="445">
        <v>3393</v>
      </c>
      <c r="G14" s="418">
        <v>3726</v>
      </c>
      <c r="H14" s="393">
        <v>7028</v>
      </c>
      <c r="L14" s="183"/>
    </row>
    <row r="15" spans="1:12" ht="7.9" customHeight="1" x14ac:dyDescent="0.15">
      <c r="A15" s="183" t="s">
        <v>198</v>
      </c>
      <c r="B15" s="445">
        <v>286</v>
      </c>
      <c r="C15" s="445">
        <v>0</v>
      </c>
      <c r="D15" s="445">
        <v>0</v>
      </c>
      <c r="E15" s="445">
        <v>0</v>
      </c>
      <c r="F15" s="445">
        <v>59</v>
      </c>
      <c r="G15" s="446">
        <v>345</v>
      </c>
      <c r="H15" s="393">
        <v>1845</v>
      </c>
      <c r="L15" s="183"/>
    </row>
    <row r="16" spans="1:12" ht="7.9" customHeight="1" x14ac:dyDescent="0.15">
      <c r="A16" s="183" t="s">
        <v>354</v>
      </c>
      <c r="B16" s="445">
        <v>7</v>
      </c>
      <c r="C16" s="445">
        <v>76</v>
      </c>
      <c r="D16" s="445">
        <v>0</v>
      </c>
      <c r="E16" s="445">
        <v>5</v>
      </c>
      <c r="F16" s="445">
        <v>34</v>
      </c>
      <c r="G16" s="446">
        <v>122</v>
      </c>
      <c r="H16" s="393">
        <v>4682</v>
      </c>
      <c r="L16" s="183"/>
    </row>
    <row r="17" spans="1:12" ht="7.9" customHeight="1" x14ac:dyDescent="0.15">
      <c r="A17" s="183" t="s">
        <v>199</v>
      </c>
      <c r="B17" s="445">
        <v>980</v>
      </c>
      <c r="C17" s="445">
        <v>414</v>
      </c>
      <c r="D17" s="445">
        <v>138</v>
      </c>
      <c r="E17" s="445">
        <v>343</v>
      </c>
      <c r="F17" s="445">
        <v>522</v>
      </c>
      <c r="G17" s="446">
        <v>2397</v>
      </c>
      <c r="H17" s="393">
        <v>48314</v>
      </c>
      <c r="L17" s="183"/>
    </row>
    <row r="18" spans="1:12" ht="7.9" customHeight="1" x14ac:dyDescent="0.15">
      <c r="A18" s="183" t="s">
        <v>200</v>
      </c>
      <c r="B18" s="445">
        <v>32</v>
      </c>
      <c r="C18" s="445">
        <v>19</v>
      </c>
      <c r="D18" s="445">
        <v>0</v>
      </c>
      <c r="E18" s="445">
        <v>4</v>
      </c>
      <c r="F18" s="445">
        <v>11</v>
      </c>
      <c r="G18" s="446">
        <v>66</v>
      </c>
      <c r="H18" s="393">
        <v>2510</v>
      </c>
      <c r="L18" s="183"/>
    </row>
    <row r="19" spans="1:12" ht="7.9" customHeight="1" x14ac:dyDescent="0.15">
      <c r="A19" s="183" t="s">
        <v>633</v>
      </c>
      <c r="B19" s="445">
        <v>0</v>
      </c>
      <c r="C19" s="445">
        <v>0</v>
      </c>
      <c r="D19" s="445">
        <v>0</v>
      </c>
      <c r="E19" s="445">
        <v>0</v>
      </c>
      <c r="F19" s="445">
        <v>0</v>
      </c>
      <c r="G19" s="446">
        <v>0</v>
      </c>
      <c r="H19" s="393">
        <v>9978</v>
      </c>
      <c r="L19" s="183"/>
    </row>
    <row r="20" spans="1:12" ht="7.9" customHeight="1" x14ac:dyDescent="0.25">
      <c r="A20" s="984" t="s">
        <v>355</v>
      </c>
      <c r="B20" s="997">
        <f>SUM(B14:B19)</f>
        <v>1364</v>
      </c>
      <c r="C20" s="993">
        <f>SUM(C14:C19)</f>
        <v>754</v>
      </c>
      <c r="D20" s="993">
        <f>SUM(D14:D19)</f>
        <v>151</v>
      </c>
      <c r="E20" s="993">
        <f>SUM(E14:E19)</f>
        <v>368</v>
      </c>
      <c r="F20" s="993">
        <f>SUM(F14:F19)</f>
        <v>4019</v>
      </c>
      <c r="G20" s="993">
        <f>SUM(B20:F20)</f>
        <v>6656</v>
      </c>
      <c r="H20" s="992">
        <f>SUM(H14:H19)</f>
        <v>74357</v>
      </c>
      <c r="L20" s="183"/>
    </row>
    <row r="21" spans="1:12" ht="7.9" customHeight="1" thickBot="1" x14ac:dyDescent="0.3">
      <c r="A21" s="1008"/>
      <c r="B21" s="1009"/>
      <c r="C21" s="1009"/>
      <c r="D21" s="1009"/>
      <c r="E21" s="1009"/>
      <c r="F21" s="1009"/>
      <c r="G21" s="1010"/>
      <c r="H21" s="1010"/>
      <c r="L21" s="183"/>
    </row>
    <row r="22" spans="1:12" ht="7.9" customHeight="1" thickTop="1" x14ac:dyDescent="0.25">
      <c r="A22" s="128" t="s">
        <v>711</v>
      </c>
      <c r="B22" s="128"/>
      <c r="C22" s="128"/>
      <c r="D22" s="128"/>
      <c r="E22" s="128"/>
      <c r="F22" s="128"/>
      <c r="G22" s="128"/>
      <c r="H22" s="128"/>
      <c r="L22" s="183"/>
    </row>
    <row r="23" spans="1:12" ht="18.75" customHeight="1" x14ac:dyDescent="0.25">
      <c r="A23" s="1040" t="s">
        <v>589</v>
      </c>
      <c r="B23" s="1040"/>
      <c r="C23" s="1040"/>
      <c r="D23" s="1040"/>
      <c r="E23" s="1040"/>
      <c r="F23" s="1040"/>
      <c r="G23" s="1040"/>
      <c r="H23" s="1040"/>
      <c r="L23" s="183"/>
    </row>
    <row r="24" spans="1:12" ht="7.9" customHeight="1" x14ac:dyDescent="0.25">
      <c r="A24" s="79"/>
      <c r="B24" s="183"/>
      <c r="C24" s="183"/>
      <c r="D24" s="183"/>
      <c r="E24" s="183"/>
      <c r="F24" s="183"/>
      <c r="G24" s="183"/>
      <c r="H24" s="183"/>
      <c r="L24" s="183"/>
    </row>
    <row r="25" spans="1:12" ht="7.9" customHeight="1" x14ac:dyDescent="0.25">
      <c r="L25" s="183"/>
    </row>
    <row r="26" spans="1:12" ht="7.9" customHeight="1" x14ac:dyDescent="0.25">
      <c r="L26" s="183"/>
    </row>
    <row r="27" spans="1:12" ht="7.9" customHeight="1" x14ac:dyDescent="0.25">
      <c r="L27" s="183"/>
    </row>
    <row r="28" spans="1:12" ht="7.9" customHeight="1" x14ac:dyDescent="0.25">
      <c r="L28" s="183"/>
    </row>
    <row r="29" spans="1:12" ht="7.9" customHeight="1" x14ac:dyDescent="0.25">
      <c r="L29" s="183"/>
    </row>
    <row r="30" spans="1:12" ht="7.9" customHeight="1" x14ac:dyDescent="0.25">
      <c r="L30" s="183"/>
    </row>
    <row r="31" spans="1:12" ht="7.9" customHeight="1" x14ac:dyDescent="0.25">
      <c r="L31" s="183"/>
    </row>
    <row r="32" spans="1:12" ht="7.9" customHeight="1" x14ac:dyDescent="0.25">
      <c r="L32" s="183"/>
    </row>
    <row r="33" spans="12:12" ht="7.9" customHeight="1" x14ac:dyDescent="0.25">
      <c r="L33" s="183"/>
    </row>
    <row r="34" spans="12:12" ht="7.9" customHeight="1" x14ac:dyDescent="0.25">
      <c r="L34" s="183"/>
    </row>
    <row r="35" spans="12:12" ht="7.9" customHeight="1" x14ac:dyDescent="0.25">
      <c r="L35" s="183"/>
    </row>
    <row r="36" spans="12:12" ht="7.9" customHeight="1" x14ac:dyDescent="0.25"/>
    <row r="37" spans="12:12" ht="7.9" customHeight="1" x14ac:dyDescent="0.25"/>
  </sheetData>
  <mergeCells count="3">
    <mergeCell ref="A23:H23"/>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dimension ref="A1:H37"/>
  <sheetViews>
    <sheetView zoomScale="140" zoomScaleNormal="140" workbookViewId="0">
      <selection sqref="A1:D1"/>
    </sheetView>
  </sheetViews>
  <sheetFormatPr baseColWidth="10" defaultRowHeight="9.9499999999999993" customHeight="1" x14ac:dyDescent="0.25"/>
  <cols>
    <col min="1" max="1" width="11.85546875" style="309" customWidth="1"/>
    <col min="2" max="2" width="50.5703125" style="309" bestFit="1" customWidth="1"/>
    <col min="3" max="3" width="6.7109375" style="309" customWidth="1"/>
    <col min="4" max="4" width="9.5703125" style="309" customWidth="1"/>
    <col min="5" max="5" width="6.7109375" style="274" customWidth="1"/>
    <col min="6" max="8" width="11.42578125" style="311"/>
    <col min="9" max="16384" width="11.42578125" style="309"/>
  </cols>
  <sheetData>
    <row r="1" spans="1:5" ht="15" customHeight="1" x14ac:dyDescent="0.25">
      <c r="A1" s="1019" t="s">
        <v>88</v>
      </c>
      <c r="B1" s="1019"/>
      <c r="C1" s="1019"/>
      <c r="D1" s="1019"/>
    </row>
    <row r="2" spans="1:5" ht="9.9499999999999993" customHeight="1" x14ac:dyDescent="0.25">
      <c r="A2" s="1021" t="s">
        <v>866</v>
      </c>
      <c r="B2" s="1021"/>
      <c r="C2" s="1021"/>
      <c r="D2" s="1021"/>
    </row>
    <row r="3" spans="1:5" ht="7.9" customHeight="1" x14ac:dyDescent="0.25">
      <c r="A3" s="16"/>
      <c r="B3" s="16"/>
      <c r="C3" s="16"/>
      <c r="D3" s="16"/>
    </row>
    <row r="4" spans="1:5" ht="20.100000000000001" customHeight="1" x14ac:dyDescent="0.25">
      <c r="A4" s="16"/>
      <c r="B4" s="16"/>
      <c r="C4" s="304" t="s">
        <v>385</v>
      </c>
      <c r="D4" s="303" t="s">
        <v>380</v>
      </c>
    </row>
    <row r="5" spans="1:5" ht="7.9" customHeight="1" x14ac:dyDescent="0.25">
      <c r="A5" s="16"/>
      <c r="B5" s="16"/>
      <c r="C5" s="304"/>
      <c r="D5" s="303"/>
    </row>
    <row r="6" spans="1:5" ht="7.9" customHeight="1" x14ac:dyDescent="0.25">
      <c r="A6" s="984" t="s">
        <v>519</v>
      </c>
      <c r="B6" s="984"/>
      <c r="C6" s="994">
        <f>SUM(C7:C15)</f>
        <v>1159</v>
      </c>
      <c r="D6" s="992">
        <f>SUM(D7:D15)</f>
        <v>16854</v>
      </c>
    </row>
    <row r="7" spans="1:5" ht="7.9" customHeight="1" x14ac:dyDescent="0.15">
      <c r="A7" s="236" t="s">
        <v>89</v>
      </c>
      <c r="B7" s="236" t="s">
        <v>90</v>
      </c>
      <c r="C7" s="451">
        <v>0</v>
      </c>
      <c r="D7" s="393">
        <v>638</v>
      </c>
    </row>
    <row r="8" spans="1:5" ht="7.9" customHeight="1" x14ac:dyDescent="0.15">
      <c r="A8" s="236" t="s">
        <v>260</v>
      </c>
      <c r="B8" s="236" t="s">
        <v>91</v>
      </c>
      <c r="C8" s="451">
        <v>0</v>
      </c>
      <c r="D8" s="393">
        <v>212</v>
      </c>
    </row>
    <row r="9" spans="1:5" ht="7.9" customHeight="1" x14ac:dyDescent="0.15">
      <c r="A9" s="16"/>
      <c r="B9" s="235" t="s">
        <v>201</v>
      </c>
      <c r="C9" s="452"/>
      <c r="D9" s="393"/>
      <c r="E9" s="311"/>
    </row>
    <row r="10" spans="1:5" ht="7.9" customHeight="1" x14ac:dyDescent="0.25">
      <c r="A10" s="16"/>
      <c r="B10" s="302" t="s">
        <v>936</v>
      </c>
      <c r="C10" s="366">
        <v>896</v>
      </c>
      <c r="D10" s="307">
        <v>11340</v>
      </c>
    </row>
    <row r="11" spans="1:5" ht="7.9" customHeight="1" x14ac:dyDescent="0.15">
      <c r="A11" s="236" t="s">
        <v>247</v>
      </c>
      <c r="B11" s="236" t="s">
        <v>937</v>
      </c>
      <c r="C11" s="418">
        <v>194</v>
      </c>
      <c r="D11" s="393">
        <v>3432</v>
      </c>
    </row>
    <row r="12" spans="1:5" ht="7.9" customHeight="1" x14ac:dyDescent="0.15">
      <c r="A12" s="16"/>
      <c r="B12" s="236" t="s">
        <v>630</v>
      </c>
      <c r="C12" s="451">
        <v>0</v>
      </c>
      <c r="D12" s="393">
        <v>645</v>
      </c>
    </row>
    <row r="13" spans="1:5" ht="7.9" customHeight="1" x14ac:dyDescent="0.15">
      <c r="A13" s="236" t="s">
        <v>252</v>
      </c>
      <c r="B13" s="236" t="s">
        <v>518</v>
      </c>
      <c r="C13" s="451">
        <v>0</v>
      </c>
      <c r="D13" s="393">
        <v>53</v>
      </c>
    </row>
    <row r="14" spans="1:5" ht="7.9" customHeight="1" x14ac:dyDescent="0.15">
      <c r="A14" s="16"/>
      <c r="B14" s="236" t="s">
        <v>315</v>
      </c>
      <c r="C14" s="451">
        <v>7</v>
      </c>
      <c r="D14" s="393">
        <v>18</v>
      </c>
    </row>
    <row r="15" spans="1:5" ht="7.9" customHeight="1" x14ac:dyDescent="0.15">
      <c r="B15" s="236" t="s">
        <v>938</v>
      </c>
      <c r="C15" s="451">
        <v>62</v>
      </c>
      <c r="D15" s="394">
        <v>516</v>
      </c>
    </row>
    <row r="16" spans="1:5" ht="7.9" customHeight="1" x14ac:dyDescent="0.25">
      <c r="A16" s="16"/>
      <c r="B16" s="236"/>
      <c r="C16" s="310"/>
      <c r="D16" s="306"/>
    </row>
    <row r="17" spans="1:8" ht="7.9" customHeight="1" x14ac:dyDescent="0.25">
      <c r="A17" s="984" t="s">
        <v>520</v>
      </c>
      <c r="B17" s="984"/>
      <c r="C17" s="994">
        <f>SUM(C18:C19)</f>
        <v>485</v>
      </c>
      <c r="D17" s="992">
        <f>SUM(D18:D19)</f>
        <v>11204</v>
      </c>
    </row>
    <row r="18" spans="1:8" ht="7.9" customHeight="1" x14ac:dyDescent="0.15">
      <c r="A18" s="236" t="s">
        <v>247</v>
      </c>
      <c r="B18" s="236" t="s">
        <v>448</v>
      </c>
      <c r="C18" s="451">
        <v>0</v>
      </c>
      <c r="D18" s="393">
        <v>722</v>
      </c>
    </row>
    <row r="19" spans="1:8" ht="7.9" customHeight="1" x14ac:dyDescent="0.15">
      <c r="A19" s="236" t="s">
        <v>446</v>
      </c>
      <c r="B19" s="236" t="s">
        <v>447</v>
      </c>
      <c r="C19" s="451">
        <v>485</v>
      </c>
      <c r="D19" s="393">
        <v>10482</v>
      </c>
    </row>
    <row r="20" spans="1:8" ht="7.9" customHeight="1" x14ac:dyDescent="0.25">
      <c r="A20" s="16"/>
      <c r="B20" s="236"/>
      <c r="C20" s="310"/>
      <c r="D20" s="306"/>
    </row>
    <row r="21" spans="1:8" ht="7.9" customHeight="1" x14ac:dyDescent="0.25">
      <c r="A21" s="984" t="s">
        <v>202</v>
      </c>
      <c r="B21" s="984"/>
      <c r="C21" s="994">
        <f>SUM(C22:C23)</f>
        <v>3570</v>
      </c>
      <c r="D21" s="992">
        <f>SUM(D22:D23)</f>
        <v>53254</v>
      </c>
    </row>
    <row r="22" spans="1:8" ht="7.9" customHeight="1" x14ac:dyDescent="0.15">
      <c r="A22" s="16"/>
      <c r="B22" s="236" t="s">
        <v>275</v>
      </c>
      <c r="C22" s="451">
        <v>3434</v>
      </c>
      <c r="D22" s="393">
        <v>51284</v>
      </c>
    </row>
    <row r="23" spans="1:8" ht="7.9" customHeight="1" x14ac:dyDescent="0.15">
      <c r="A23" s="16"/>
      <c r="B23" s="310" t="s">
        <v>274</v>
      </c>
      <c r="C23" s="452">
        <v>136</v>
      </c>
      <c r="D23" s="393">
        <v>1970</v>
      </c>
    </row>
    <row r="24" spans="1:8" ht="7.9" customHeight="1" thickBot="1" x14ac:dyDescent="0.3">
      <c r="A24" s="1008"/>
      <c r="B24" s="1009"/>
      <c r="C24" s="1009"/>
      <c r="D24" s="1009"/>
      <c r="E24" s="1011"/>
      <c r="F24" s="1011"/>
      <c r="G24" s="1017"/>
      <c r="H24" s="1017"/>
    </row>
    <row r="25" spans="1:8" ht="7.9" customHeight="1" thickTop="1" x14ac:dyDescent="0.25">
      <c r="A25" s="128" t="s">
        <v>951</v>
      </c>
      <c r="B25" s="128"/>
      <c r="C25" s="128"/>
      <c r="D25" s="128"/>
    </row>
    <row r="26" spans="1:8" s="311" customFormat="1" ht="7.9" customHeight="1" x14ac:dyDescent="0.25">
      <c r="A26" s="216" t="s">
        <v>270</v>
      </c>
      <c r="B26" s="216"/>
      <c r="C26" s="309"/>
      <c r="D26" s="217"/>
      <c r="E26" s="274"/>
    </row>
    <row r="27" spans="1:8" s="311" customFormat="1" ht="7.9" customHeight="1" x14ac:dyDescent="0.25">
      <c r="A27" s="216" t="s">
        <v>92</v>
      </c>
      <c r="B27" s="216"/>
      <c r="C27" s="309"/>
      <c r="D27" s="217"/>
      <c r="E27" s="274"/>
    </row>
    <row r="28" spans="1:8" ht="7.9" customHeight="1" x14ac:dyDescent="0.25">
      <c r="A28" s="216" t="s">
        <v>268</v>
      </c>
      <c r="B28" s="216"/>
      <c r="C28" s="311"/>
      <c r="D28" s="217"/>
    </row>
    <row r="29" spans="1:8" ht="7.9" customHeight="1" x14ac:dyDescent="0.25">
      <c r="A29" s="216" t="s">
        <v>271</v>
      </c>
      <c r="B29" s="16"/>
      <c r="C29" s="311"/>
      <c r="D29" s="217"/>
    </row>
    <row r="30" spans="1:8" ht="7.9" customHeight="1" x14ac:dyDescent="0.25">
      <c r="A30" s="216" t="s">
        <v>272</v>
      </c>
    </row>
    <row r="31" spans="1:8" ht="7.9" customHeight="1" x14ac:dyDescent="0.25">
      <c r="A31" s="216" t="s">
        <v>269</v>
      </c>
    </row>
    <row r="32" spans="1:8" ht="7.9" customHeight="1" x14ac:dyDescent="0.25">
      <c r="A32" s="216" t="s">
        <v>273</v>
      </c>
    </row>
    <row r="33" spans="1:2" ht="7.9" customHeight="1" x14ac:dyDescent="0.25">
      <c r="A33" s="216" t="s">
        <v>624</v>
      </c>
    </row>
    <row r="34" spans="1:2" ht="7.9" customHeight="1" x14ac:dyDescent="0.25"/>
    <row r="35" spans="1:2" ht="7.9" customHeight="1" x14ac:dyDescent="0.25"/>
    <row r="36" spans="1:2" ht="7.9" customHeight="1" x14ac:dyDescent="0.25"/>
    <row r="37" spans="1:2" ht="9.9499999999999993" customHeight="1" x14ac:dyDescent="0.25">
      <c r="B37" s="732"/>
    </row>
  </sheetData>
  <mergeCells count="2">
    <mergeCell ref="A1:D1"/>
    <mergeCell ref="A2:D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B3"/>
  <sheetViews>
    <sheetView workbookViewId="0"/>
  </sheetViews>
  <sheetFormatPr baseColWidth="10" defaultRowHeight="15" x14ac:dyDescent="0.25"/>
  <sheetData>
    <row r="1" spans="1:2" x14ac:dyDescent="0.25">
      <c r="A1" s="912"/>
      <c r="B1" s="284"/>
    </row>
    <row r="2" spans="1:2" x14ac:dyDescent="0.25">
      <c r="A2" s="284"/>
      <c r="B2" s="284"/>
    </row>
    <row r="3" spans="1:2" x14ac:dyDescent="0.25">
      <c r="A3" s="284"/>
      <c r="B3" s="284"/>
    </row>
  </sheetData>
  <phoneticPr fontId="15" type="noConversion"/>
  <pageMargins left="0.78740157499999996" right="0.78740157499999996" top="0.984251969" bottom="0.984251969" header="0.4921259845" footer="0.4921259845"/>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dimension ref="A1:H36"/>
  <sheetViews>
    <sheetView zoomScale="140" zoomScaleNormal="140" workbookViewId="0">
      <selection sqref="A1:E1"/>
    </sheetView>
  </sheetViews>
  <sheetFormatPr baseColWidth="10" defaultRowHeight="9.9499999999999993" customHeight="1" x14ac:dyDescent="0.25"/>
  <cols>
    <col min="1" max="1" width="11.85546875" style="211" customWidth="1"/>
    <col min="2" max="2" width="48" style="211" customWidth="1"/>
    <col min="3" max="4" width="6.7109375" style="211" customWidth="1"/>
    <col min="5" max="5" width="9.42578125" style="211" customWidth="1"/>
    <col min="6" max="7" width="6.7109375" style="240" customWidth="1"/>
    <col min="8" max="8" width="6.85546875" style="240" customWidth="1"/>
    <col min="9" max="9" width="8.7109375" style="211" customWidth="1"/>
    <col min="10" max="16384" width="11.42578125" style="211"/>
  </cols>
  <sheetData>
    <row r="1" spans="1:8" ht="15" customHeight="1" x14ac:dyDescent="0.25">
      <c r="A1" s="1019" t="s">
        <v>590</v>
      </c>
      <c r="B1" s="1019"/>
      <c r="C1" s="1019"/>
      <c r="D1" s="1019"/>
      <c r="E1" s="1019"/>
    </row>
    <row r="2" spans="1:8" ht="9.9499999999999993" customHeight="1" x14ac:dyDescent="0.25">
      <c r="A2" s="1021" t="s">
        <v>699</v>
      </c>
      <c r="B2" s="1021"/>
      <c r="C2" s="1021"/>
      <c r="D2" s="1021"/>
      <c r="E2" s="1021"/>
    </row>
    <row r="3" spans="1:8" ht="7.9" customHeight="1" x14ac:dyDescent="0.25">
      <c r="A3" s="16"/>
      <c r="B3" s="16"/>
      <c r="C3" s="16"/>
      <c r="D3" s="16"/>
      <c r="E3" s="16"/>
    </row>
    <row r="4" spans="1:8" ht="9" customHeight="1" x14ac:dyDescent="0.25">
      <c r="A4" s="16"/>
      <c r="B4" s="16"/>
      <c r="C4" s="1042" t="s">
        <v>385</v>
      </c>
      <c r="D4" s="1042"/>
      <c r="E4" s="792" t="s">
        <v>771</v>
      </c>
    </row>
    <row r="5" spans="1:8" ht="20.100000000000001" customHeight="1" x14ac:dyDescent="0.25">
      <c r="A5" s="16"/>
      <c r="B5" s="16"/>
      <c r="C5" s="303" t="s">
        <v>769</v>
      </c>
      <c r="D5" s="303" t="s">
        <v>770</v>
      </c>
      <c r="E5" s="303" t="s">
        <v>770</v>
      </c>
    </row>
    <row r="6" spans="1:8" ht="7.9" customHeight="1" x14ac:dyDescent="0.25">
      <c r="A6" s="16"/>
      <c r="B6" s="16"/>
      <c r="C6" s="16"/>
      <c r="D6" s="655"/>
      <c r="E6" s="16"/>
    </row>
    <row r="7" spans="1:8" ht="7.9" customHeight="1" x14ac:dyDescent="0.25">
      <c r="A7" s="1041" t="s">
        <v>140</v>
      </c>
      <c r="B7" s="1041"/>
      <c r="C7" s="919">
        <f>SUM(C9:C26)</f>
        <v>169</v>
      </c>
      <c r="D7" s="949">
        <f>SUM(D9:D26)</f>
        <v>1221</v>
      </c>
      <c r="E7" s="949">
        <f>SUM(E9:E26)</f>
        <v>24720</v>
      </c>
    </row>
    <row r="8" spans="1:8" ht="7.9" customHeight="1" x14ac:dyDescent="0.25">
      <c r="A8" s="16"/>
      <c r="B8" s="16"/>
      <c r="C8" s="16"/>
      <c r="D8" s="656"/>
      <c r="E8" s="367"/>
    </row>
    <row r="9" spans="1:8" ht="7.9" customHeight="1" x14ac:dyDescent="0.25">
      <c r="A9" s="205" t="s">
        <v>89</v>
      </c>
      <c r="B9" s="192" t="s">
        <v>267</v>
      </c>
      <c r="C9" s="192">
        <v>35</v>
      </c>
      <c r="D9" s="454">
        <v>413</v>
      </c>
      <c r="E9" s="441">
        <v>6429</v>
      </c>
    </row>
    <row r="10" spans="1:8" s="214" customFormat="1" ht="7.9" customHeight="1" x14ac:dyDescent="0.15">
      <c r="A10" s="16"/>
      <c r="B10" s="192" t="s">
        <v>262</v>
      </c>
      <c r="C10" s="192">
        <v>43</v>
      </c>
      <c r="D10" s="455">
        <v>125</v>
      </c>
      <c r="E10" s="441">
        <v>2856</v>
      </c>
      <c r="F10" s="240"/>
      <c r="G10" s="275"/>
      <c r="H10" s="275"/>
    </row>
    <row r="11" spans="1:8" ht="7.9" customHeight="1" x14ac:dyDescent="0.15">
      <c r="A11" s="16"/>
      <c r="B11" s="192" t="s">
        <v>261</v>
      </c>
      <c r="C11" s="192">
        <v>0</v>
      </c>
      <c r="D11" s="454">
        <v>74</v>
      </c>
      <c r="E11" s="453">
        <v>1558</v>
      </c>
    </row>
    <row r="12" spans="1:8" ht="7.9" customHeight="1" x14ac:dyDescent="0.15">
      <c r="A12" s="16"/>
      <c r="B12" s="16"/>
      <c r="C12" s="16"/>
      <c r="D12" s="455"/>
      <c r="E12" s="453"/>
    </row>
    <row r="13" spans="1:8" ht="7.9" customHeight="1" x14ac:dyDescent="0.15">
      <c r="A13" s="205" t="s">
        <v>260</v>
      </c>
      <c r="B13" s="192" t="s">
        <v>259</v>
      </c>
      <c r="C13" s="192">
        <v>1</v>
      </c>
      <c r="D13" s="455">
        <v>13</v>
      </c>
      <c r="E13" s="453">
        <v>375</v>
      </c>
    </row>
    <row r="14" spans="1:8" ht="7.9" customHeight="1" x14ac:dyDescent="0.15">
      <c r="A14" s="16"/>
      <c r="B14" s="192" t="s">
        <v>258</v>
      </c>
      <c r="C14" s="192">
        <v>27</v>
      </c>
      <c r="D14" s="456">
        <v>79</v>
      </c>
      <c r="E14" s="453">
        <v>2622</v>
      </c>
    </row>
    <row r="15" spans="1:8" ht="7.9" customHeight="1" x14ac:dyDescent="0.15">
      <c r="A15" s="16"/>
      <c r="B15" s="16"/>
      <c r="C15" s="16"/>
      <c r="D15" s="456"/>
      <c r="E15" s="453"/>
    </row>
    <row r="16" spans="1:8" ht="7.9" customHeight="1" x14ac:dyDescent="0.15">
      <c r="A16" s="205" t="s">
        <v>247</v>
      </c>
      <c r="B16" s="192" t="s">
        <v>257</v>
      </c>
      <c r="C16" s="192">
        <v>3</v>
      </c>
      <c r="D16" s="456">
        <v>89</v>
      </c>
      <c r="E16" s="453">
        <v>2087</v>
      </c>
    </row>
    <row r="17" spans="1:5" ht="7.9" customHeight="1" x14ac:dyDescent="0.15">
      <c r="A17" s="16"/>
      <c r="B17" s="192" t="s">
        <v>256</v>
      </c>
      <c r="C17" s="192">
        <v>37</v>
      </c>
      <c r="D17" s="457">
        <v>119</v>
      </c>
      <c r="E17" s="453">
        <v>4182</v>
      </c>
    </row>
    <row r="18" spans="1:5" ht="7.9" customHeight="1" x14ac:dyDescent="0.15">
      <c r="A18" s="16"/>
      <c r="B18" s="192" t="s">
        <v>255</v>
      </c>
      <c r="C18" s="192">
        <v>0</v>
      </c>
      <c r="D18" s="456">
        <v>92</v>
      </c>
      <c r="E18" s="453">
        <v>1548</v>
      </c>
    </row>
    <row r="19" spans="1:5" ht="7.9" customHeight="1" x14ac:dyDescent="0.25">
      <c r="A19" s="16"/>
      <c r="B19" s="192" t="s">
        <v>254</v>
      </c>
      <c r="C19" s="192">
        <v>5</v>
      </c>
      <c r="D19" s="456">
        <v>0</v>
      </c>
      <c r="E19" s="441">
        <v>212</v>
      </c>
    </row>
    <row r="20" spans="1:5" ht="7.9" customHeight="1" x14ac:dyDescent="0.15">
      <c r="A20" s="16"/>
      <c r="B20" s="192" t="s">
        <v>253</v>
      </c>
      <c r="C20" s="192">
        <v>9</v>
      </c>
      <c r="D20" s="456">
        <v>129</v>
      </c>
      <c r="E20" s="453">
        <v>1243</v>
      </c>
    </row>
    <row r="21" spans="1:5" ht="7.9" customHeight="1" x14ac:dyDescent="0.15">
      <c r="A21" s="16"/>
      <c r="B21" s="16"/>
      <c r="C21" s="16"/>
      <c r="D21" s="458"/>
      <c r="E21" s="453"/>
    </row>
    <row r="22" spans="1:5" ht="7.9" customHeight="1" x14ac:dyDescent="0.25">
      <c r="A22" s="205" t="s">
        <v>252</v>
      </c>
      <c r="B22" s="192" t="s">
        <v>251</v>
      </c>
      <c r="C22" s="192">
        <v>0</v>
      </c>
      <c r="D22" s="457">
        <v>2</v>
      </c>
      <c r="E22" s="441">
        <v>77</v>
      </c>
    </row>
    <row r="23" spans="1:5" ht="7.9" customHeight="1" x14ac:dyDescent="0.15">
      <c r="A23" s="16"/>
      <c r="B23" s="215" t="s">
        <v>94</v>
      </c>
      <c r="C23" s="215">
        <v>4</v>
      </c>
      <c r="D23" s="457">
        <v>63</v>
      </c>
      <c r="E23" s="453">
        <v>1135</v>
      </c>
    </row>
    <row r="24" spans="1:5" ht="7.9" customHeight="1" x14ac:dyDescent="0.15">
      <c r="A24" s="16"/>
      <c r="B24" s="16"/>
      <c r="C24" s="16"/>
      <c r="D24" s="456"/>
      <c r="E24" s="453"/>
    </row>
    <row r="25" spans="1:5" ht="7.9" customHeight="1" x14ac:dyDescent="0.15">
      <c r="A25" s="205" t="s">
        <v>250</v>
      </c>
      <c r="B25" s="192" t="s">
        <v>84</v>
      </c>
      <c r="C25" s="192">
        <v>0</v>
      </c>
      <c r="D25" s="457">
        <v>14</v>
      </c>
      <c r="E25" s="453">
        <v>110</v>
      </c>
    </row>
    <row r="26" spans="1:5" ht="7.9" customHeight="1" x14ac:dyDescent="0.15">
      <c r="A26" s="16"/>
      <c r="B26" s="192" t="s">
        <v>249</v>
      </c>
      <c r="C26" s="192">
        <v>5</v>
      </c>
      <c r="D26" s="456">
        <v>9</v>
      </c>
      <c r="E26" s="453">
        <v>286</v>
      </c>
    </row>
    <row r="27" spans="1:5" ht="7.9" customHeight="1" thickBot="1" x14ac:dyDescent="0.3">
      <c r="A27" s="1008"/>
      <c r="B27" s="1009"/>
      <c r="C27" s="1009"/>
      <c r="D27" s="1009"/>
      <c r="E27" s="1009"/>
    </row>
    <row r="28" spans="1:5" ht="7.9" customHeight="1" thickTop="1" x14ac:dyDescent="0.25">
      <c r="A28" s="128" t="s">
        <v>867</v>
      </c>
      <c r="B28" s="219"/>
      <c r="C28" s="219"/>
      <c r="D28" s="219"/>
      <c r="E28" s="219"/>
    </row>
    <row r="29" spans="1:5" ht="7.9" customHeight="1" x14ac:dyDescent="0.25">
      <c r="A29" s="308" t="s">
        <v>581</v>
      </c>
      <c r="B29" s="218"/>
      <c r="C29" s="218"/>
      <c r="D29" s="218"/>
      <c r="E29" s="218"/>
    </row>
    <row r="30" spans="1:5" ht="7.9" customHeight="1" x14ac:dyDescent="0.25">
      <c r="A30" s="218"/>
      <c r="B30" s="218"/>
      <c r="C30" s="218"/>
      <c r="D30" s="218"/>
      <c r="E30" s="218"/>
    </row>
    <row r="31" spans="1:5" ht="7.9" customHeight="1" x14ac:dyDescent="0.25"/>
    <row r="32" spans="1:5" ht="7.9" customHeight="1" x14ac:dyDescent="0.25"/>
    <row r="33" ht="7.9" customHeight="1" x14ac:dyDescent="0.25"/>
    <row r="34" ht="7.9" customHeight="1" x14ac:dyDescent="0.25"/>
    <row r="35" ht="7.9" customHeight="1" x14ac:dyDescent="0.25"/>
    <row r="36" ht="7.9" customHeight="1" x14ac:dyDescent="0.25"/>
  </sheetData>
  <mergeCells count="4">
    <mergeCell ref="A1:E1"/>
    <mergeCell ref="A2:E2"/>
    <mergeCell ref="A7:B7"/>
    <mergeCell ref="C4:D4"/>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dimension ref="A1:J39"/>
  <sheetViews>
    <sheetView zoomScale="140" zoomScaleNormal="140" workbookViewId="0">
      <selection sqref="A1:G1"/>
    </sheetView>
  </sheetViews>
  <sheetFormatPr baseColWidth="10" defaultRowHeight="9.9499999999999993" customHeight="1" x14ac:dyDescent="0.25"/>
  <cols>
    <col min="1" max="1" width="10.85546875" style="309" customWidth="1"/>
    <col min="2" max="2" width="23.42578125" style="309" customWidth="1"/>
    <col min="3" max="3" width="7.42578125" style="309" customWidth="1"/>
    <col min="4" max="4" width="6.42578125" style="309" customWidth="1"/>
    <col min="5" max="5" width="11.140625" style="240" customWidth="1"/>
    <col min="6" max="6" width="9.140625" style="240" customWidth="1"/>
    <col min="7" max="7" width="9.5703125" style="240" customWidth="1"/>
    <col min="8" max="8" width="8.7109375" style="309" customWidth="1"/>
    <col min="9" max="16384" width="11.42578125" style="309"/>
  </cols>
  <sheetData>
    <row r="1" spans="1:10" ht="15" customHeight="1" x14ac:dyDescent="0.25">
      <c r="A1" s="1019" t="s">
        <v>592</v>
      </c>
      <c r="B1" s="1019"/>
      <c r="C1" s="1019"/>
      <c r="D1" s="1019"/>
      <c r="E1" s="1019"/>
      <c r="F1" s="1019"/>
      <c r="G1" s="1019"/>
      <c r="H1" s="240"/>
    </row>
    <row r="2" spans="1:10" ht="9.9499999999999993" customHeight="1" x14ac:dyDescent="0.25">
      <c r="A2" s="1021" t="s">
        <v>699</v>
      </c>
      <c r="B2" s="1021"/>
      <c r="C2" s="1021"/>
      <c r="D2" s="1021"/>
      <c r="E2" s="1021"/>
      <c r="F2" s="1021"/>
      <c r="G2" s="1021"/>
      <c r="H2" s="240"/>
    </row>
    <row r="3" spans="1:10" ht="7.9" customHeight="1" x14ac:dyDescent="0.25">
      <c r="A3" s="16"/>
      <c r="B3" s="16"/>
      <c r="C3" s="16"/>
      <c r="D3" s="16"/>
    </row>
    <row r="4" spans="1:10" ht="7.9" customHeight="1" x14ac:dyDescent="0.25">
      <c r="A4" s="16"/>
      <c r="B4" s="16"/>
      <c r="C4" s="16"/>
      <c r="D4" s="16"/>
      <c r="F4" s="1042" t="s">
        <v>571</v>
      </c>
      <c r="G4" s="1042"/>
    </row>
    <row r="5" spans="1:10" ht="20.100000000000001" customHeight="1" x14ac:dyDescent="0.25">
      <c r="A5" s="16"/>
      <c r="B5" s="16"/>
      <c r="C5" s="303" t="s">
        <v>568</v>
      </c>
      <c r="D5" s="303" t="s">
        <v>569</v>
      </c>
      <c r="E5" s="303" t="s">
        <v>570</v>
      </c>
      <c r="F5" s="304" t="s">
        <v>385</v>
      </c>
      <c r="G5" s="303" t="s">
        <v>380</v>
      </c>
      <c r="H5" s="240"/>
      <c r="I5" s="240"/>
      <c r="J5" s="240"/>
    </row>
    <row r="6" spans="1:10" ht="7.9" customHeight="1" x14ac:dyDescent="0.25">
      <c r="A6" s="16"/>
      <c r="B6" s="16"/>
      <c r="C6" s="16"/>
      <c r="D6" s="16"/>
      <c r="E6" s="16"/>
      <c r="F6" s="16"/>
      <c r="G6" s="16"/>
      <c r="H6" s="240"/>
      <c r="I6" s="240"/>
      <c r="J6" s="240"/>
    </row>
    <row r="7" spans="1:10" ht="7.9" customHeight="1" x14ac:dyDescent="0.25">
      <c r="A7" s="984" t="s">
        <v>93</v>
      </c>
      <c r="B7" s="984"/>
      <c r="C7" s="992">
        <f>SUM(C8:C28)</f>
        <v>86</v>
      </c>
      <c r="D7" s="992">
        <f>SUM(D8:D28)</f>
        <v>52</v>
      </c>
      <c r="E7" s="992">
        <f>SUM(E8:E28)</f>
        <v>26</v>
      </c>
      <c r="F7" s="992">
        <f>SUM(F8:F28)</f>
        <v>2925</v>
      </c>
      <c r="G7" s="992">
        <f>SUM(G8:G28)</f>
        <v>65976</v>
      </c>
      <c r="H7" s="240"/>
      <c r="I7" s="240"/>
      <c r="J7" s="240"/>
    </row>
    <row r="8" spans="1:10" ht="7.9" customHeight="1" x14ac:dyDescent="0.25">
      <c r="A8" s="16"/>
      <c r="B8" s="16"/>
      <c r="C8" s="16"/>
      <c r="D8" s="16"/>
      <c r="E8" s="16"/>
      <c r="F8" s="156"/>
      <c r="G8" s="16"/>
      <c r="H8" s="240"/>
      <c r="I8" s="240"/>
      <c r="J8" s="240"/>
    </row>
    <row r="9" spans="1:10" ht="7.9" customHeight="1" x14ac:dyDescent="0.15">
      <c r="A9" s="236" t="s">
        <v>89</v>
      </c>
      <c r="B9" s="183" t="s">
        <v>686</v>
      </c>
      <c r="C9" s="171">
        <v>86</v>
      </c>
      <c r="D9" s="171">
        <v>51</v>
      </c>
      <c r="E9" s="171"/>
      <c r="F9" s="651">
        <v>1288</v>
      </c>
      <c r="G9" s="89">
        <v>22698</v>
      </c>
      <c r="H9" s="240"/>
      <c r="I9" s="240"/>
      <c r="J9" s="240"/>
    </row>
    <row r="10" spans="1:10" ht="7.9" customHeight="1" x14ac:dyDescent="0.15">
      <c r="A10" s="16"/>
      <c r="B10" s="183" t="s">
        <v>688</v>
      </c>
      <c r="C10" s="171"/>
      <c r="D10" s="171"/>
      <c r="E10" s="171"/>
      <c r="F10" s="651">
        <v>115</v>
      </c>
      <c r="G10" s="89">
        <v>3239</v>
      </c>
      <c r="H10" s="240"/>
      <c r="I10" s="240"/>
      <c r="J10" s="240"/>
    </row>
    <row r="11" spans="1:10" ht="7.9" customHeight="1" x14ac:dyDescent="0.15">
      <c r="A11" s="16"/>
      <c r="B11" s="183" t="s">
        <v>687</v>
      </c>
      <c r="C11" s="171"/>
      <c r="D11" s="171">
        <v>1</v>
      </c>
      <c r="E11" s="171"/>
      <c r="F11" s="652">
        <v>83</v>
      </c>
      <c r="G11" s="89">
        <v>4763</v>
      </c>
      <c r="H11" s="240"/>
      <c r="I11" s="240"/>
      <c r="J11" s="240"/>
    </row>
    <row r="12" spans="1:10" ht="7.9" customHeight="1" x14ac:dyDescent="0.15">
      <c r="A12" s="16"/>
      <c r="B12" s="16"/>
      <c r="C12" s="114"/>
      <c r="D12" s="114"/>
      <c r="E12" s="114"/>
      <c r="F12" s="652"/>
      <c r="G12" s="89"/>
      <c r="H12" s="240"/>
      <c r="I12" s="240"/>
      <c r="J12" s="240"/>
    </row>
    <row r="13" spans="1:10" ht="7.9" customHeight="1" x14ac:dyDescent="0.15">
      <c r="A13" s="236" t="s">
        <v>247</v>
      </c>
      <c r="B13" s="183" t="s">
        <v>917</v>
      </c>
      <c r="C13" s="171"/>
      <c r="D13" s="171"/>
      <c r="E13" s="171"/>
      <c r="F13" s="652">
        <v>0</v>
      </c>
      <c r="G13" s="89">
        <v>400</v>
      </c>
      <c r="H13" s="240"/>
      <c r="I13" s="240"/>
      <c r="J13" s="240"/>
    </row>
    <row r="14" spans="1:10" ht="7.9" customHeight="1" x14ac:dyDescent="0.15">
      <c r="B14" s="183" t="s">
        <v>240</v>
      </c>
      <c r="C14" s="171"/>
      <c r="D14" s="171"/>
      <c r="E14" s="171">
        <v>2</v>
      </c>
      <c r="F14" s="653">
        <v>0</v>
      </c>
      <c r="G14" s="89">
        <v>92</v>
      </c>
      <c r="H14" s="240"/>
      <c r="I14" s="240"/>
      <c r="J14" s="240"/>
    </row>
    <row r="15" spans="1:10" ht="7.9" customHeight="1" x14ac:dyDescent="0.15">
      <c r="A15" s="16"/>
      <c r="B15" s="183" t="s">
        <v>243</v>
      </c>
      <c r="C15" s="171"/>
      <c r="D15" s="171"/>
      <c r="E15" s="171"/>
      <c r="F15" s="651">
        <v>0</v>
      </c>
      <c r="G15" s="89">
        <v>804</v>
      </c>
      <c r="H15" s="240"/>
      <c r="I15" s="240"/>
      <c r="J15" s="240"/>
    </row>
    <row r="16" spans="1:10" ht="7.9" customHeight="1" x14ac:dyDescent="0.15">
      <c r="A16" s="16"/>
      <c r="B16" s="16"/>
      <c r="C16" s="114"/>
      <c r="D16" s="114"/>
      <c r="E16" s="114"/>
      <c r="F16" s="652"/>
      <c r="G16" s="89"/>
      <c r="H16" s="240"/>
      <c r="I16" s="240"/>
      <c r="J16" s="240"/>
    </row>
    <row r="17" spans="1:10" ht="7.9" customHeight="1" x14ac:dyDescent="0.15">
      <c r="A17" s="236" t="s">
        <v>252</v>
      </c>
      <c r="B17" s="183" t="s">
        <v>245</v>
      </c>
      <c r="C17" s="171"/>
      <c r="D17" s="171"/>
      <c r="E17" s="171"/>
      <c r="F17" s="713">
        <v>25</v>
      </c>
      <c r="G17" s="89">
        <v>545</v>
      </c>
      <c r="H17" s="240"/>
      <c r="I17" s="240"/>
      <c r="J17" s="240"/>
    </row>
    <row r="18" spans="1:10" ht="7.9" customHeight="1" x14ac:dyDescent="0.15">
      <c r="B18" s="183" t="s">
        <v>242</v>
      </c>
      <c r="C18" s="171"/>
      <c r="D18" s="171"/>
      <c r="E18" s="171"/>
      <c r="F18" s="651">
        <v>39</v>
      </c>
      <c r="G18" s="89">
        <v>599</v>
      </c>
      <c r="H18" s="240"/>
      <c r="I18" s="240"/>
      <c r="J18" s="240"/>
    </row>
    <row r="19" spans="1:10" ht="7.9" customHeight="1" x14ac:dyDescent="0.15">
      <c r="B19" s="183" t="s">
        <v>244</v>
      </c>
      <c r="C19" s="171"/>
      <c r="D19" s="171"/>
      <c r="E19" s="171">
        <v>4</v>
      </c>
      <c r="F19" s="652">
        <v>0</v>
      </c>
      <c r="G19" s="89">
        <v>667</v>
      </c>
      <c r="H19" s="240"/>
      <c r="I19" s="240"/>
      <c r="J19" s="240"/>
    </row>
    <row r="20" spans="1:10" ht="7.9" customHeight="1" x14ac:dyDescent="0.15">
      <c r="B20" s="183" t="s">
        <v>241</v>
      </c>
      <c r="C20" s="171"/>
      <c r="D20" s="171"/>
      <c r="E20" s="171"/>
      <c r="F20" s="652">
        <v>1037</v>
      </c>
      <c r="G20" s="89">
        <v>25427</v>
      </c>
      <c r="H20" s="240"/>
      <c r="I20" s="240"/>
      <c r="J20" s="240"/>
    </row>
    <row r="21" spans="1:10" ht="7.9" customHeight="1" x14ac:dyDescent="0.15">
      <c r="A21" s="16"/>
      <c r="B21" s="183" t="s">
        <v>246</v>
      </c>
      <c r="C21" s="171"/>
      <c r="D21" s="171"/>
      <c r="E21" s="171">
        <v>20</v>
      </c>
      <c r="F21" s="651">
        <v>122</v>
      </c>
      <c r="G21" s="89">
        <v>2634</v>
      </c>
      <c r="H21" s="240"/>
      <c r="I21" s="240"/>
      <c r="J21" s="240"/>
    </row>
    <row r="22" spans="1:10" ht="7.9" customHeight="1" x14ac:dyDescent="0.15">
      <c r="A22" s="16"/>
      <c r="B22" s="183"/>
      <c r="F22" s="652"/>
      <c r="G22" s="89"/>
      <c r="H22" s="240"/>
      <c r="I22" s="240"/>
      <c r="J22" s="240"/>
    </row>
    <row r="23" spans="1:10" ht="7.9" customHeight="1" x14ac:dyDescent="0.15">
      <c r="A23" s="236" t="s">
        <v>250</v>
      </c>
      <c r="B23" s="183" t="s">
        <v>623</v>
      </c>
      <c r="F23" s="652">
        <v>44</v>
      </c>
      <c r="G23" s="89">
        <v>829</v>
      </c>
      <c r="H23" s="240"/>
      <c r="I23" s="240"/>
      <c r="J23" s="240"/>
    </row>
    <row r="24" spans="1:10" ht="7.9" customHeight="1" x14ac:dyDescent="0.15">
      <c r="A24" s="16"/>
      <c r="B24" s="183"/>
      <c r="F24" s="652"/>
      <c r="G24" s="89"/>
      <c r="H24" s="240"/>
      <c r="I24" s="240"/>
      <c r="J24" s="240"/>
    </row>
    <row r="25" spans="1:10" s="312" customFormat="1" ht="7.5" customHeight="1" x14ac:dyDescent="0.25">
      <c r="A25" s="235" t="s">
        <v>396</v>
      </c>
      <c r="B25" s="302" t="s">
        <v>427</v>
      </c>
      <c r="C25" s="714"/>
      <c r="D25" s="714"/>
      <c r="E25" s="714"/>
      <c r="F25" s="654">
        <v>15</v>
      </c>
      <c r="G25" s="89">
        <v>267</v>
      </c>
      <c r="H25" s="240"/>
      <c r="J25" s="276"/>
    </row>
    <row r="26" spans="1:10" ht="7.9" customHeight="1" x14ac:dyDescent="0.15">
      <c r="A26" s="235" t="s">
        <v>395</v>
      </c>
      <c r="B26" s="183" t="s">
        <v>237</v>
      </c>
      <c r="C26" s="171"/>
      <c r="D26" s="171"/>
      <c r="E26" s="171"/>
      <c r="F26" s="652">
        <v>19</v>
      </c>
      <c r="G26" s="89">
        <v>487</v>
      </c>
      <c r="H26" s="240"/>
      <c r="I26" s="240"/>
      <c r="J26" s="240"/>
    </row>
    <row r="27" spans="1:10" ht="7.9" customHeight="1" x14ac:dyDescent="0.15">
      <c r="A27" s="16"/>
      <c r="B27" s="183" t="s">
        <v>236</v>
      </c>
      <c r="C27" s="171"/>
      <c r="D27" s="171"/>
      <c r="E27" s="171"/>
      <c r="F27" s="653">
        <v>57</v>
      </c>
      <c r="G27" s="348">
        <v>1035</v>
      </c>
      <c r="H27" s="240"/>
      <c r="I27" s="240"/>
      <c r="J27" s="240"/>
    </row>
    <row r="28" spans="1:10" ht="7.9" customHeight="1" x14ac:dyDescent="0.15">
      <c r="A28" s="16"/>
      <c r="B28" s="183" t="s">
        <v>235</v>
      </c>
      <c r="C28" s="171"/>
      <c r="D28" s="171"/>
      <c r="E28" s="171"/>
      <c r="F28" s="651">
        <v>81</v>
      </c>
      <c r="G28" s="89">
        <v>1490</v>
      </c>
      <c r="H28" s="240"/>
      <c r="I28" s="240"/>
      <c r="J28" s="240"/>
    </row>
    <row r="29" spans="1:10" ht="7.9" customHeight="1" thickBot="1" x14ac:dyDescent="0.3">
      <c r="A29" s="1008"/>
      <c r="B29" s="1009"/>
      <c r="C29" s="1009"/>
      <c r="D29" s="1009"/>
      <c r="E29" s="1009"/>
      <c r="F29" s="1009"/>
      <c r="G29" s="1009"/>
    </row>
    <row r="30" spans="1:10" ht="7.9" customHeight="1" thickTop="1" x14ac:dyDescent="0.25">
      <c r="A30" s="128" t="s">
        <v>915</v>
      </c>
      <c r="B30" s="128"/>
      <c r="C30" s="128"/>
      <c r="D30" s="128"/>
      <c r="H30" s="240"/>
    </row>
    <row r="31" spans="1:10" ht="7.9" customHeight="1" x14ac:dyDescent="0.25">
      <c r="A31" s="308" t="s">
        <v>581</v>
      </c>
      <c r="B31" s="308"/>
      <c r="C31" s="308"/>
      <c r="D31" s="308"/>
    </row>
    <row r="32" spans="1:10" ht="7.9" customHeight="1" x14ac:dyDescent="0.25"/>
    <row r="33" ht="7.9" customHeight="1" x14ac:dyDescent="0.25"/>
    <row r="34" ht="7.9" customHeight="1" x14ac:dyDescent="0.25"/>
    <row r="35" ht="7.9" customHeight="1" x14ac:dyDescent="0.25"/>
    <row r="36" ht="7.9" customHeight="1" x14ac:dyDescent="0.25"/>
    <row r="37" ht="7.9" customHeight="1" x14ac:dyDescent="0.25"/>
    <row r="38" ht="7.9" customHeight="1" x14ac:dyDescent="0.25"/>
    <row r="39" ht="7.9" customHeight="1" x14ac:dyDescent="0.25"/>
  </sheetData>
  <mergeCells count="3">
    <mergeCell ref="A1:G1"/>
    <mergeCell ref="A2:G2"/>
    <mergeCell ref="F4:G4"/>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dimension ref="A1:K37"/>
  <sheetViews>
    <sheetView zoomScale="140" zoomScaleNormal="140" workbookViewId="0">
      <selection sqref="A1:H1"/>
    </sheetView>
  </sheetViews>
  <sheetFormatPr baseColWidth="10" defaultRowHeight="9.9499999999999993" customHeight="1" x14ac:dyDescent="0.15"/>
  <cols>
    <col min="1" max="1" width="23.85546875" style="53" customWidth="1"/>
    <col min="2" max="3" width="6.7109375" style="53" customWidth="1"/>
    <col min="4" max="4" width="6.5703125" style="53" customWidth="1"/>
    <col min="5" max="6" width="6.7109375" style="53" customWidth="1"/>
    <col min="7" max="7" width="6.85546875" style="53" customWidth="1"/>
    <col min="8" max="8" width="9.85546875" style="54" customWidth="1"/>
    <col min="9" max="9" width="5" style="241" customWidth="1"/>
    <col min="10" max="16384" width="11.42578125" style="53"/>
  </cols>
  <sheetData>
    <row r="1" spans="1:11" ht="15" customHeight="1" x14ac:dyDescent="0.15">
      <c r="A1" s="1019" t="s">
        <v>142</v>
      </c>
      <c r="B1" s="1019"/>
      <c r="C1" s="1019"/>
      <c r="D1" s="1019"/>
      <c r="E1" s="1019"/>
      <c r="F1" s="1019"/>
      <c r="G1" s="1019"/>
      <c r="H1" s="1019"/>
    </row>
    <row r="2" spans="1:11" ht="9.9499999999999993" customHeight="1" x14ac:dyDescent="0.15">
      <c r="A2" s="1021" t="s">
        <v>824</v>
      </c>
      <c r="B2" s="1021"/>
      <c r="C2" s="1021"/>
      <c r="D2" s="1021"/>
      <c r="E2" s="1021"/>
      <c r="F2" s="1021"/>
      <c r="G2" s="1021"/>
      <c r="H2" s="1021"/>
    </row>
    <row r="3" spans="1:11" s="65" customFormat="1" ht="7.9" customHeight="1" x14ac:dyDescent="0.15">
      <c r="A3" s="329"/>
      <c r="B3" s="329"/>
      <c r="C3" s="329"/>
      <c r="D3" s="329"/>
      <c r="E3" s="329"/>
      <c r="F3" s="329"/>
      <c r="G3" s="329"/>
      <c r="H3" s="329"/>
      <c r="I3" s="173"/>
    </row>
    <row r="4" spans="1:11" s="57" customFormat="1" ht="20.100000000000001" customHeight="1" x14ac:dyDescent="0.15">
      <c r="A4" s="58"/>
      <c r="B4" s="22" t="s">
        <v>374</v>
      </c>
      <c r="C4" s="22" t="s">
        <v>384</v>
      </c>
      <c r="D4" s="22" t="s">
        <v>376</v>
      </c>
      <c r="E4" s="22" t="s">
        <v>377</v>
      </c>
      <c r="F4" s="22" t="s">
        <v>378</v>
      </c>
      <c r="G4" s="23" t="s">
        <v>385</v>
      </c>
      <c r="H4" s="88" t="s">
        <v>380</v>
      </c>
      <c r="I4" s="243"/>
    </row>
    <row r="5" spans="1:11" ht="9.9499999999999993" customHeight="1" x14ac:dyDescent="0.15">
      <c r="A5" s="60"/>
      <c r="B5" s="22"/>
      <c r="C5" s="22"/>
      <c r="D5" s="22"/>
      <c r="E5" s="22"/>
      <c r="F5" s="22"/>
      <c r="G5" s="23"/>
      <c r="H5" s="23"/>
    </row>
    <row r="6" spans="1:11" ht="7.9" customHeight="1" x14ac:dyDescent="0.15">
      <c r="A6" s="922" t="s">
        <v>830</v>
      </c>
      <c r="B6" s="930">
        <f t="shared" ref="B6:G6" si="0">SUM(B13:B21)</f>
        <v>1630</v>
      </c>
      <c r="C6" s="930">
        <f>SUM(C13:C21)</f>
        <v>805</v>
      </c>
      <c r="D6" s="930">
        <f t="shared" si="0"/>
        <v>277</v>
      </c>
      <c r="E6" s="930">
        <f t="shared" si="0"/>
        <v>512</v>
      </c>
      <c r="F6" s="930">
        <f t="shared" si="0"/>
        <v>650</v>
      </c>
      <c r="G6" s="930">
        <f t="shared" si="0"/>
        <v>3874</v>
      </c>
      <c r="H6" s="949">
        <v>71900</v>
      </c>
      <c r="I6" s="173"/>
      <c r="J6" s="614"/>
    </row>
    <row r="7" spans="1:11" ht="7.9" customHeight="1" x14ac:dyDescent="0.15">
      <c r="A7" s="65" t="s">
        <v>831</v>
      </c>
      <c r="B7" s="104">
        <v>1611</v>
      </c>
      <c r="C7" s="104">
        <v>812</v>
      </c>
      <c r="D7" s="104">
        <v>290</v>
      </c>
      <c r="E7" s="104">
        <v>519</v>
      </c>
      <c r="F7" s="104">
        <v>677</v>
      </c>
      <c r="G7" s="166">
        <v>3909</v>
      </c>
      <c r="H7" s="89">
        <v>75000</v>
      </c>
      <c r="J7" s="614"/>
    </row>
    <row r="8" spans="1:11" ht="7.9" customHeight="1" x14ac:dyDescent="0.15">
      <c r="A8" s="30"/>
      <c r="B8" s="347"/>
      <c r="C8" s="347"/>
      <c r="D8" s="347"/>
      <c r="E8" s="347"/>
      <c r="F8" s="347"/>
      <c r="G8" s="347"/>
      <c r="H8" s="347"/>
    </row>
    <row r="9" spans="1:11" ht="7.9" customHeight="1" x14ac:dyDescent="0.15">
      <c r="A9" s="86"/>
      <c r="B9" s="313"/>
      <c r="C9" s="313"/>
      <c r="D9" s="313"/>
      <c r="E9" s="313"/>
      <c r="F9" s="313"/>
      <c r="G9" s="314"/>
      <c r="H9" s="313"/>
    </row>
    <row r="10" spans="1:11" ht="7.9" customHeight="1" x14ac:dyDescent="0.15">
      <c r="A10" s="929" t="s">
        <v>14</v>
      </c>
      <c r="B10" s="998">
        <f>B6/'page 7 Démo'!B17*1000</f>
        <v>1.2132146615875397</v>
      </c>
      <c r="C10" s="998">
        <f>C6/'page 7 Démo'!C17*1000</f>
        <v>1.0002360805655994</v>
      </c>
      <c r="D10" s="998">
        <f>D6/'page 7 Démo'!D17*1000</f>
        <v>0.89999350185197213</v>
      </c>
      <c r="E10" s="998">
        <f>E6/'page 7 Démo'!E17*1000</f>
        <v>0.897470954895073</v>
      </c>
      <c r="F10" s="998">
        <f>F6/'page 7 Démo'!F17*1000</f>
        <v>0.98219803832385633</v>
      </c>
      <c r="G10" s="998">
        <f>G6/'page 7 Démo'!G17*1000</f>
        <v>1.0503196371544201</v>
      </c>
      <c r="H10" s="998">
        <f>H6/'page 7 Démo'!H17*1000</f>
        <v>1.1237521857292601</v>
      </c>
    </row>
    <row r="11" spans="1:11" ht="7.9" customHeight="1" x14ac:dyDescent="0.15">
      <c r="A11" s="86"/>
      <c r="B11" s="313"/>
      <c r="C11" s="313"/>
      <c r="D11" s="313"/>
      <c r="E11" s="313"/>
      <c r="F11" s="313"/>
      <c r="G11" s="314"/>
      <c r="H11" s="313"/>
    </row>
    <row r="12" spans="1:11" ht="7.9" customHeight="1" x14ac:dyDescent="0.15">
      <c r="A12" s="929" t="s">
        <v>832</v>
      </c>
      <c r="B12" s="998"/>
      <c r="C12" s="998"/>
      <c r="D12" s="998"/>
      <c r="E12" s="998"/>
      <c r="F12" s="998"/>
      <c r="G12" s="998"/>
      <c r="H12" s="998"/>
      <c r="J12" s="593"/>
      <c r="K12" s="593"/>
    </row>
    <row r="13" spans="1:11" ht="7.9" customHeight="1" x14ac:dyDescent="0.15">
      <c r="A13" s="53" t="s">
        <v>143</v>
      </c>
      <c r="B13" s="51">
        <v>59</v>
      </c>
      <c r="C13" s="51">
        <v>62</v>
      </c>
      <c r="D13" s="51">
        <v>23</v>
      </c>
      <c r="E13" s="51">
        <v>8</v>
      </c>
      <c r="F13" s="51">
        <v>50</v>
      </c>
      <c r="G13" s="166">
        <f>SUM(B13:F13)</f>
        <v>202</v>
      </c>
      <c r="H13" s="373" t="s">
        <v>239</v>
      </c>
    </row>
    <row r="14" spans="1:11" ht="7.9" customHeight="1" x14ac:dyDescent="0.15">
      <c r="A14" s="53" t="s">
        <v>144</v>
      </c>
      <c r="B14" s="51">
        <v>144</v>
      </c>
      <c r="C14" s="51">
        <v>113</v>
      </c>
      <c r="D14" s="51">
        <v>27</v>
      </c>
      <c r="E14" s="51">
        <v>87</v>
      </c>
      <c r="F14" s="51">
        <v>59</v>
      </c>
      <c r="G14" s="166">
        <f t="shared" ref="G14:G21" si="1">SUM(B14:F14)</f>
        <v>430</v>
      </c>
      <c r="H14" s="373" t="s">
        <v>239</v>
      </c>
    </row>
    <row r="15" spans="1:11" ht="7.9" customHeight="1" x14ac:dyDescent="0.15">
      <c r="A15" s="53" t="s">
        <v>145</v>
      </c>
      <c r="B15" s="51">
        <v>215</v>
      </c>
      <c r="C15" s="51">
        <v>105</v>
      </c>
      <c r="D15" s="51">
        <v>40</v>
      </c>
      <c r="E15" s="51">
        <v>50</v>
      </c>
      <c r="F15" s="51">
        <v>69</v>
      </c>
      <c r="G15" s="166">
        <f t="shared" si="1"/>
        <v>479</v>
      </c>
      <c r="H15" s="373" t="s">
        <v>239</v>
      </c>
    </row>
    <row r="16" spans="1:11" ht="7.9" customHeight="1" x14ac:dyDescent="0.15">
      <c r="A16" s="53" t="s">
        <v>146</v>
      </c>
      <c r="B16" s="51">
        <v>45</v>
      </c>
      <c r="C16" s="51">
        <v>20</v>
      </c>
      <c r="D16" s="51">
        <v>40</v>
      </c>
      <c r="E16" s="51">
        <v>10</v>
      </c>
      <c r="F16" s="51">
        <v>16</v>
      </c>
      <c r="G16" s="166">
        <f t="shared" si="1"/>
        <v>131</v>
      </c>
      <c r="H16" s="373" t="s">
        <v>239</v>
      </c>
    </row>
    <row r="17" spans="1:8" ht="7.9" customHeight="1" x14ac:dyDescent="0.15">
      <c r="A17" s="53" t="s">
        <v>147</v>
      </c>
      <c r="B17" s="51">
        <v>272</v>
      </c>
      <c r="C17" s="51">
        <v>115</v>
      </c>
      <c r="D17" s="51">
        <v>42</v>
      </c>
      <c r="E17" s="51">
        <v>100</v>
      </c>
      <c r="F17" s="51">
        <v>110</v>
      </c>
      <c r="G17" s="166">
        <f t="shared" si="1"/>
        <v>639</v>
      </c>
      <c r="H17" s="373" t="s">
        <v>239</v>
      </c>
    </row>
    <row r="18" spans="1:8" ht="7.9" customHeight="1" x14ac:dyDescent="0.15">
      <c r="A18" s="53" t="s">
        <v>148</v>
      </c>
      <c r="B18" s="51">
        <v>337</v>
      </c>
      <c r="C18" s="51">
        <v>46</v>
      </c>
      <c r="D18" s="51">
        <v>29</v>
      </c>
      <c r="E18" s="51">
        <v>11</v>
      </c>
      <c r="F18" s="51">
        <v>74</v>
      </c>
      <c r="G18" s="166">
        <f t="shared" si="1"/>
        <v>497</v>
      </c>
      <c r="H18" s="373" t="s">
        <v>239</v>
      </c>
    </row>
    <row r="19" spans="1:8" ht="7.9" customHeight="1" x14ac:dyDescent="0.15">
      <c r="A19" s="53" t="s">
        <v>149</v>
      </c>
      <c r="B19" s="51">
        <v>464</v>
      </c>
      <c r="C19" s="51">
        <v>310</v>
      </c>
      <c r="D19" s="51">
        <v>48</v>
      </c>
      <c r="E19" s="51">
        <v>206</v>
      </c>
      <c r="F19" s="51">
        <v>220</v>
      </c>
      <c r="G19" s="166">
        <f t="shared" si="1"/>
        <v>1248</v>
      </c>
      <c r="H19" s="373" t="s">
        <v>239</v>
      </c>
    </row>
    <row r="20" spans="1:8" ht="7.9" customHeight="1" x14ac:dyDescent="0.15">
      <c r="A20" s="53" t="s">
        <v>238</v>
      </c>
      <c r="B20" s="51">
        <v>93</v>
      </c>
      <c r="C20" s="51">
        <v>30</v>
      </c>
      <c r="D20" s="51">
        <v>25</v>
      </c>
      <c r="E20" s="51">
        <v>40</v>
      </c>
      <c r="F20" s="51">
        <v>47</v>
      </c>
      <c r="G20" s="166">
        <f t="shared" si="1"/>
        <v>235</v>
      </c>
      <c r="H20" s="373" t="s">
        <v>239</v>
      </c>
    </row>
    <row r="21" spans="1:8" ht="7.9" customHeight="1" x14ac:dyDescent="0.15">
      <c r="A21" s="53" t="s">
        <v>150</v>
      </c>
      <c r="B21" s="51">
        <v>1</v>
      </c>
      <c r="C21" s="51">
        <v>4</v>
      </c>
      <c r="D21" s="51">
        <v>3</v>
      </c>
      <c r="E21" s="51">
        <v>0</v>
      </c>
      <c r="F21" s="51">
        <v>5</v>
      </c>
      <c r="G21" s="166">
        <f t="shared" si="1"/>
        <v>13</v>
      </c>
      <c r="H21" s="373" t="s">
        <v>239</v>
      </c>
    </row>
    <row r="22" spans="1:8" ht="7.9" customHeight="1" thickBot="1" x14ac:dyDescent="0.2">
      <c r="A22" s="1008"/>
      <c r="B22" s="1009"/>
      <c r="C22" s="1009"/>
      <c r="D22" s="1009"/>
      <c r="E22" s="1009"/>
      <c r="F22" s="1009"/>
      <c r="G22" s="1009"/>
      <c r="H22" s="1009"/>
    </row>
    <row r="23" spans="1:8" ht="7.9" customHeight="1" thickTop="1" x14ac:dyDescent="0.15">
      <c r="A23" s="55" t="s">
        <v>712</v>
      </c>
      <c r="B23" s="313"/>
      <c r="C23" s="313"/>
      <c r="D23" s="313"/>
      <c r="E23" s="313"/>
      <c r="F23" s="313"/>
      <c r="G23" s="314"/>
      <c r="H23" s="313"/>
    </row>
    <row r="24" spans="1:8" ht="7.9" customHeight="1" x14ac:dyDescent="0.15">
      <c r="A24" s="53" t="s">
        <v>833</v>
      </c>
      <c r="B24" s="313"/>
      <c r="C24" s="313"/>
      <c r="D24" s="313"/>
      <c r="E24" s="313"/>
      <c r="F24" s="313"/>
      <c r="G24" s="314"/>
      <c r="H24" s="313"/>
    </row>
    <row r="25" spans="1:8" ht="7.9" customHeight="1" x14ac:dyDescent="0.15">
      <c r="A25" s="53" t="s">
        <v>834</v>
      </c>
    </row>
    <row r="26" spans="1:8" ht="7.9" customHeight="1" x14ac:dyDescent="0.15">
      <c r="A26" s="53" t="s">
        <v>768</v>
      </c>
    </row>
    <row r="27" spans="1:8" ht="7.9" customHeight="1" x14ac:dyDescent="0.15"/>
    <row r="28" spans="1:8" ht="7.9" customHeight="1" x14ac:dyDescent="0.15"/>
    <row r="29" spans="1:8" ht="7.9" customHeight="1" x14ac:dyDescent="0.15"/>
    <row r="30" spans="1:8" ht="7.9" customHeight="1" x14ac:dyDescent="0.15"/>
    <row r="31" spans="1:8" ht="7.9" customHeight="1" x14ac:dyDescent="0.15"/>
    <row r="32" spans="1:8" ht="7.9" customHeight="1" x14ac:dyDescent="0.15"/>
    <row r="33" ht="7.9" customHeight="1" x14ac:dyDescent="0.15"/>
    <row r="34" ht="7.9" customHeight="1" x14ac:dyDescent="0.15"/>
    <row r="35" ht="7.9" customHeight="1" x14ac:dyDescent="0.15"/>
    <row r="36" ht="7.9" customHeight="1" x14ac:dyDescent="0.15"/>
    <row r="37"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dimension ref="A1:Q27"/>
  <sheetViews>
    <sheetView zoomScale="140" zoomScaleNormal="140" workbookViewId="0">
      <selection sqref="A1:H1"/>
    </sheetView>
  </sheetViews>
  <sheetFormatPr baseColWidth="10" defaultRowHeight="9.9499999999999993" customHeight="1" x14ac:dyDescent="0.15"/>
  <cols>
    <col min="1" max="1" width="26.140625" style="53" customWidth="1"/>
    <col min="2" max="2" width="6.5703125" style="53" customWidth="1"/>
    <col min="3" max="3" width="6.42578125" style="53" customWidth="1"/>
    <col min="4" max="4" width="6.42578125" style="53" bestFit="1" customWidth="1"/>
    <col min="5" max="6" width="5.7109375" style="53" customWidth="1"/>
    <col min="7" max="7" width="6.7109375" style="53" customWidth="1"/>
    <col min="8" max="8" width="9.5703125" style="54" customWidth="1"/>
    <col min="9" max="9" width="6.42578125" style="173" customWidth="1"/>
    <col min="10" max="10" width="11.42578125" style="65" customWidth="1"/>
    <col min="11" max="11" width="4.140625" style="65" bestFit="1" customWidth="1"/>
    <col min="12" max="14" width="3.85546875" style="65" bestFit="1" customWidth="1"/>
    <col min="15" max="15" width="4.140625" style="65" bestFit="1" customWidth="1"/>
    <col min="16" max="16" width="4.5703125" style="65" bestFit="1" customWidth="1"/>
    <col min="17" max="17" width="5.28515625" style="65" bestFit="1" customWidth="1"/>
    <col min="18" max="16384" width="11.42578125" style="53"/>
  </cols>
  <sheetData>
    <row r="1" spans="1:17" ht="15.6" customHeight="1" x14ac:dyDescent="0.15">
      <c r="A1" s="1019" t="s">
        <v>151</v>
      </c>
      <c r="B1" s="1019"/>
      <c r="C1" s="1019"/>
      <c r="D1" s="1019"/>
      <c r="E1" s="1019"/>
      <c r="F1" s="1019"/>
      <c r="G1" s="1019"/>
      <c r="H1" s="1019"/>
    </row>
    <row r="2" spans="1:17" ht="9.9499999999999993" customHeight="1" x14ac:dyDescent="0.15">
      <c r="A2" s="1021" t="s">
        <v>710</v>
      </c>
      <c r="B2" s="1021"/>
      <c r="C2" s="1021"/>
      <c r="D2" s="1021"/>
      <c r="E2" s="1021"/>
      <c r="F2" s="1021"/>
      <c r="G2" s="1021"/>
      <c r="H2" s="1021"/>
    </row>
    <row r="3" spans="1:17" ht="7.9" customHeight="1" x14ac:dyDescent="0.15">
      <c r="A3" s="329"/>
      <c r="B3" s="329"/>
      <c r="C3" s="329"/>
      <c r="D3" s="329"/>
      <c r="E3" s="329"/>
      <c r="F3" s="329"/>
      <c r="G3" s="329"/>
      <c r="H3" s="329"/>
    </row>
    <row r="4" spans="1:17" ht="20.100000000000001" customHeight="1" x14ac:dyDescent="0.15">
      <c r="A4" s="86"/>
      <c r="B4" s="22" t="s">
        <v>374</v>
      </c>
      <c r="C4" s="22" t="s">
        <v>384</v>
      </c>
      <c r="D4" s="22" t="s">
        <v>376</v>
      </c>
      <c r="E4" s="22" t="s">
        <v>377</v>
      </c>
      <c r="F4" s="22" t="s">
        <v>378</v>
      </c>
      <c r="G4" s="23" t="s">
        <v>385</v>
      </c>
      <c r="H4" s="88" t="s">
        <v>380</v>
      </c>
    </row>
    <row r="5" spans="1:17" ht="7.9" customHeight="1" x14ac:dyDescent="0.15">
      <c r="A5" s="86"/>
      <c r="B5" s="22"/>
      <c r="C5" s="22"/>
      <c r="D5" s="22"/>
      <c r="E5" s="22"/>
      <c r="F5" s="22"/>
      <c r="G5" s="23"/>
      <c r="H5" s="88"/>
    </row>
    <row r="6" spans="1:17" ht="9.9499999999999993" customHeight="1" x14ac:dyDescent="0.15">
      <c r="A6" s="929" t="s">
        <v>428</v>
      </c>
      <c r="B6" s="999">
        <v>4839</v>
      </c>
      <c r="C6" s="999">
        <v>3091</v>
      </c>
      <c r="D6" s="999">
        <v>1046</v>
      </c>
      <c r="E6" s="999">
        <v>1625</v>
      </c>
      <c r="F6" s="999">
        <v>2347</v>
      </c>
      <c r="G6" s="999">
        <v>12948</v>
      </c>
      <c r="H6" s="999">
        <v>180359</v>
      </c>
      <c r="J6" s="66"/>
      <c r="K6" s="104"/>
      <c r="L6" s="104"/>
      <c r="M6" s="104"/>
      <c r="N6" s="104"/>
      <c r="O6" s="104"/>
      <c r="P6" s="104"/>
      <c r="Q6" s="104"/>
    </row>
    <row r="7" spans="1:17" ht="7.9" customHeight="1" x14ac:dyDescent="0.15">
      <c r="A7" s="315"/>
      <c r="B7" s="478"/>
      <c r="C7" s="478"/>
      <c r="D7" s="478"/>
      <c r="E7" s="478"/>
      <c r="F7" s="478"/>
      <c r="G7" s="478"/>
      <c r="H7" s="478"/>
    </row>
    <row r="8" spans="1:17" ht="7.9" customHeight="1" x14ac:dyDescent="0.15">
      <c r="A8" s="929" t="s">
        <v>429</v>
      </c>
      <c r="B8" s="999"/>
      <c r="C8" s="999"/>
      <c r="D8" s="999"/>
      <c r="E8" s="999"/>
      <c r="F8" s="999"/>
      <c r="G8" s="999"/>
      <c r="H8" s="999"/>
    </row>
    <row r="9" spans="1:17" ht="7.9" customHeight="1" x14ac:dyDescent="0.15">
      <c r="A9" s="315" t="s">
        <v>152</v>
      </c>
      <c r="B9" s="51">
        <v>6</v>
      </c>
      <c r="C9" s="51">
        <v>2</v>
      </c>
      <c r="D9" s="51">
        <v>4</v>
      </c>
      <c r="E9" s="51">
        <v>4</v>
      </c>
      <c r="F9" s="51">
        <v>8</v>
      </c>
      <c r="G9" s="52">
        <f>SUM(B9:F9)</f>
        <v>24</v>
      </c>
      <c r="H9" s="51">
        <v>695</v>
      </c>
      <c r="L9" s="352"/>
    </row>
    <row r="10" spans="1:17" ht="7.9" customHeight="1" x14ac:dyDescent="0.15">
      <c r="A10" s="315" t="s">
        <v>153</v>
      </c>
      <c r="B10" s="51">
        <v>4</v>
      </c>
      <c r="C10" s="51">
        <v>5</v>
      </c>
      <c r="D10" s="51">
        <v>2</v>
      </c>
      <c r="E10" s="51">
        <v>4</v>
      </c>
      <c r="F10" s="51">
        <v>1</v>
      </c>
      <c r="G10" s="52">
        <f t="shared" ref="G10:G20" si="0">SUM(B10:F10)</f>
        <v>16</v>
      </c>
      <c r="H10" s="51">
        <v>269</v>
      </c>
      <c r="K10" s="318"/>
      <c r="L10" s="352"/>
    </row>
    <row r="11" spans="1:17" ht="7.9" customHeight="1" x14ac:dyDescent="0.15">
      <c r="A11" s="315" t="s">
        <v>203</v>
      </c>
      <c r="B11" s="51">
        <v>147</v>
      </c>
      <c r="C11" s="51">
        <v>74</v>
      </c>
      <c r="D11" s="51">
        <v>17</v>
      </c>
      <c r="E11" s="51">
        <v>48</v>
      </c>
      <c r="F11" s="51">
        <v>107</v>
      </c>
      <c r="G11" s="52">
        <f t="shared" si="0"/>
        <v>393</v>
      </c>
      <c r="H11" s="51">
        <v>3985</v>
      </c>
      <c r="K11" s="318"/>
      <c r="L11" s="352"/>
    </row>
    <row r="12" spans="1:17" ht="7.9" customHeight="1" x14ac:dyDescent="0.15">
      <c r="A12" s="315" t="s">
        <v>204</v>
      </c>
      <c r="B12" s="51"/>
      <c r="C12" s="51"/>
      <c r="D12" s="51"/>
      <c r="E12" s="51"/>
      <c r="F12" s="51"/>
      <c r="G12" s="52"/>
      <c r="H12" s="51"/>
      <c r="I12" s="65"/>
      <c r="K12" s="318"/>
      <c r="L12" s="352"/>
    </row>
    <row r="13" spans="1:17" ht="7.9" customHeight="1" x14ac:dyDescent="0.15">
      <c r="A13" s="315" t="s">
        <v>205</v>
      </c>
      <c r="B13" s="51">
        <v>1660</v>
      </c>
      <c r="C13" s="51">
        <v>1091</v>
      </c>
      <c r="D13" s="51">
        <v>416</v>
      </c>
      <c r="E13" s="51">
        <v>542</v>
      </c>
      <c r="F13" s="51">
        <v>807</v>
      </c>
      <c r="G13" s="52">
        <f t="shared" si="0"/>
        <v>4516</v>
      </c>
      <c r="H13" s="51">
        <v>55354</v>
      </c>
      <c r="K13" s="318"/>
      <c r="L13" s="352"/>
    </row>
    <row r="14" spans="1:17" ht="7.9" customHeight="1" x14ac:dyDescent="0.15">
      <c r="A14" s="482" t="s">
        <v>154</v>
      </c>
      <c r="B14" s="159">
        <v>859</v>
      </c>
      <c r="C14" s="159">
        <v>496</v>
      </c>
      <c r="D14" s="159">
        <v>185</v>
      </c>
      <c r="E14" s="159">
        <v>227</v>
      </c>
      <c r="F14" s="159">
        <v>411</v>
      </c>
      <c r="G14" s="196">
        <f t="shared" si="0"/>
        <v>2178</v>
      </c>
      <c r="H14" s="159">
        <v>20214</v>
      </c>
      <c r="K14" s="318"/>
      <c r="L14" s="352"/>
    </row>
    <row r="15" spans="1:17" ht="7.9" customHeight="1" x14ac:dyDescent="0.15">
      <c r="A15" s="483" t="s">
        <v>155</v>
      </c>
      <c r="B15" s="159">
        <v>110</v>
      </c>
      <c r="C15" s="159">
        <v>37</v>
      </c>
      <c r="D15" s="159">
        <v>17</v>
      </c>
      <c r="E15" s="159">
        <v>37</v>
      </c>
      <c r="F15" s="159">
        <v>64</v>
      </c>
      <c r="G15" s="196">
        <f t="shared" si="0"/>
        <v>265</v>
      </c>
      <c r="H15" s="159">
        <v>3751</v>
      </c>
      <c r="K15" s="318"/>
      <c r="L15" s="352"/>
    </row>
    <row r="16" spans="1:17" ht="7.9" customHeight="1" x14ac:dyDescent="0.15">
      <c r="A16" s="482" t="s">
        <v>156</v>
      </c>
      <c r="B16" s="159">
        <v>691</v>
      </c>
      <c r="C16" s="159">
        <v>558</v>
      </c>
      <c r="D16" s="159">
        <v>214</v>
      </c>
      <c r="E16" s="159">
        <v>278</v>
      </c>
      <c r="F16" s="159">
        <v>332</v>
      </c>
      <c r="G16" s="196">
        <f t="shared" si="0"/>
        <v>2073</v>
      </c>
      <c r="H16" s="159">
        <v>31389</v>
      </c>
      <c r="K16" s="318"/>
      <c r="L16" s="352"/>
    </row>
    <row r="17" spans="1:12" ht="7.9" customHeight="1" x14ac:dyDescent="0.15">
      <c r="A17" s="315" t="s">
        <v>502</v>
      </c>
      <c r="B17" s="51">
        <v>2655</v>
      </c>
      <c r="C17" s="51">
        <v>1697</v>
      </c>
      <c r="D17" s="51">
        <v>503</v>
      </c>
      <c r="E17" s="51">
        <v>885</v>
      </c>
      <c r="F17" s="51">
        <v>1206</v>
      </c>
      <c r="G17" s="52">
        <f t="shared" si="0"/>
        <v>6946</v>
      </c>
      <c r="H17" s="51">
        <v>104726</v>
      </c>
      <c r="K17" s="318"/>
      <c r="L17" s="352"/>
    </row>
    <row r="18" spans="1:12" ht="7.9" customHeight="1" x14ac:dyDescent="0.15">
      <c r="A18" s="485" t="s">
        <v>714</v>
      </c>
      <c r="B18" s="480">
        <v>904</v>
      </c>
      <c r="C18" s="480">
        <v>748</v>
      </c>
      <c r="D18" s="480">
        <v>208</v>
      </c>
      <c r="E18" s="480">
        <v>346</v>
      </c>
      <c r="F18" s="480">
        <v>574</v>
      </c>
      <c r="G18" s="620">
        <f t="shared" si="0"/>
        <v>2780</v>
      </c>
      <c r="H18" s="480">
        <v>35621</v>
      </c>
      <c r="K18" s="318"/>
      <c r="L18" s="352"/>
    </row>
    <row r="19" spans="1:12" ht="7.9" customHeight="1" x14ac:dyDescent="0.15">
      <c r="A19" s="483" t="s">
        <v>715</v>
      </c>
      <c r="B19" s="621">
        <v>531</v>
      </c>
      <c r="C19" s="621">
        <v>295</v>
      </c>
      <c r="D19" s="621">
        <v>59</v>
      </c>
      <c r="E19" s="621">
        <v>153</v>
      </c>
      <c r="F19" s="621">
        <v>156</v>
      </c>
      <c r="G19" s="622">
        <f t="shared" si="0"/>
        <v>1194</v>
      </c>
      <c r="H19" s="621">
        <v>21782</v>
      </c>
      <c r="I19" s="322"/>
      <c r="K19" s="318"/>
      <c r="L19" s="352"/>
    </row>
    <row r="20" spans="1:12" ht="7.9" customHeight="1" x14ac:dyDescent="0.15">
      <c r="A20" s="315" t="s">
        <v>469</v>
      </c>
      <c r="B20" s="479">
        <v>367</v>
      </c>
      <c r="C20" s="479">
        <v>222</v>
      </c>
      <c r="D20" s="479">
        <v>104</v>
      </c>
      <c r="E20" s="479">
        <v>142</v>
      </c>
      <c r="F20" s="479">
        <v>218</v>
      </c>
      <c r="G20" s="478">
        <f t="shared" si="0"/>
        <v>1053</v>
      </c>
      <c r="H20" s="479">
        <v>15330</v>
      </c>
      <c r="K20" s="318"/>
      <c r="L20" s="352"/>
    </row>
    <row r="21" spans="1:12" ht="7.9" customHeight="1" thickBot="1" x14ac:dyDescent="0.2">
      <c r="A21" s="1008"/>
      <c r="B21" s="1009"/>
      <c r="C21" s="1009"/>
      <c r="D21" s="1009"/>
      <c r="E21" s="1009"/>
      <c r="F21" s="1009"/>
      <c r="G21" s="1009"/>
      <c r="H21" s="1009"/>
      <c r="K21" s="318"/>
      <c r="L21" s="352"/>
    </row>
    <row r="22" spans="1:12" ht="7.9" customHeight="1" thickTop="1" x14ac:dyDescent="0.15">
      <c r="A22" s="55" t="s">
        <v>713</v>
      </c>
      <c r="B22" s="313"/>
      <c r="C22" s="313"/>
      <c r="D22" s="313"/>
      <c r="E22" s="313"/>
      <c r="F22" s="313"/>
      <c r="G22" s="314"/>
      <c r="H22" s="481"/>
      <c r="K22" s="318"/>
      <c r="L22" s="352"/>
    </row>
    <row r="23" spans="1:12" ht="7.9" customHeight="1" x14ac:dyDescent="0.15">
      <c r="A23" s="55" t="s">
        <v>430</v>
      </c>
      <c r="B23" s="318"/>
      <c r="C23" s="161"/>
      <c r="D23" s="161"/>
      <c r="E23" s="161"/>
      <c r="F23" s="161"/>
      <c r="G23" s="188"/>
      <c r="H23" s="161"/>
      <c r="K23" s="318"/>
      <c r="L23" s="352"/>
    </row>
    <row r="24" spans="1:12" ht="7.9" customHeight="1" x14ac:dyDescent="0.15">
      <c r="A24" s="39" t="s">
        <v>503</v>
      </c>
      <c r="B24" s="315"/>
      <c r="C24" s="159"/>
      <c r="D24" s="159"/>
      <c r="E24" s="159"/>
      <c r="F24" s="159"/>
      <c r="G24" s="196"/>
      <c r="H24" s="159"/>
      <c r="K24" s="318"/>
      <c r="L24" s="352"/>
    </row>
    <row r="25" spans="1:12" ht="7.9" customHeight="1" x14ac:dyDescent="0.15"/>
    <row r="26" spans="1:12" ht="7.9" customHeight="1" x14ac:dyDescent="0.15"/>
    <row r="27" spans="1:12" ht="7.9" customHeight="1" x14ac:dyDescent="0.15"/>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dimension ref="A1:S29"/>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7109375" style="54" customWidth="1"/>
    <col min="9" max="9" width="6.140625" style="173" customWidth="1"/>
    <col min="10" max="10" width="30.5703125" style="65" customWidth="1"/>
    <col min="11" max="16" width="4.85546875" style="65" customWidth="1"/>
    <col min="17" max="17" width="6.42578125" style="65" bestFit="1" customWidth="1"/>
    <col min="18" max="18" width="4.85546875" style="65" customWidth="1"/>
    <col min="19" max="19" width="11.42578125" style="65" customWidth="1"/>
    <col min="20" max="16384" width="11.42578125" style="53"/>
  </cols>
  <sheetData>
    <row r="1" spans="1:18" s="53" customFormat="1" ht="15.6" customHeight="1" x14ac:dyDescent="0.15">
      <c r="A1" s="1019" t="s">
        <v>157</v>
      </c>
      <c r="B1" s="1019"/>
      <c r="C1" s="1019"/>
      <c r="D1" s="1019"/>
      <c r="E1" s="1019"/>
      <c r="F1" s="1019"/>
      <c r="G1" s="1019"/>
      <c r="H1" s="1019"/>
      <c r="I1" s="321"/>
      <c r="J1" s="65"/>
      <c r="K1" s="65"/>
      <c r="L1" s="65"/>
      <c r="M1" s="65"/>
      <c r="N1" s="65"/>
      <c r="O1" s="65"/>
      <c r="P1" s="65"/>
      <c r="Q1" s="65"/>
      <c r="R1" s="65"/>
    </row>
    <row r="2" spans="1:18" s="53" customFormat="1" ht="9.9499999999999993" customHeight="1" x14ac:dyDescent="0.15">
      <c r="A2" s="1021" t="s">
        <v>710</v>
      </c>
      <c r="B2" s="1021"/>
      <c r="C2" s="1021"/>
      <c r="D2" s="1021"/>
      <c r="E2" s="1021"/>
      <c r="F2" s="1021"/>
      <c r="G2" s="1021"/>
      <c r="H2" s="1021"/>
      <c r="I2" s="490"/>
      <c r="J2" s="65"/>
      <c r="K2" s="65"/>
      <c r="L2" s="65"/>
      <c r="M2" s="65"/>
      <c r="N2" s="65"/>
      <c r="O2" s="65"/>
      <c r="P2" s="65"/>
      <c r="Q2" s="65"/>
      <c r="R2" s="65"/>
    </row>
    <row r="3" spans="1:18" s="53" customFormat="1" ht="7.9" customHeight="1" x14ac:dyDescent="0.15">
      <c r="A3" s="329"/>
      <c r="B3" s="329"/>
      <c r="C3" s="329"/>
      <c r="D3" s="329"/>
      <c r="E3" s="329"/>
      <c r="F3" s="329"/>
      <c r="G3" s="329"/>
      <c r="H3" s="329"/>
      <c r="I3" s="491"/>
      <c r="J3" s="65"/>
      <c r="K3" s="65"/>
      <c r="L3" s="65"/>
      <c r="M3" s="65"/>
      <c r="N3" s="65"/>
      <c r="O3" s="65"/>
      <c r="P3" s="65"/>
      <c r="Q3" s="65"/>
      <c r="R3" s="65"/>
    </row>
    <row r="4" spans="1:18" s="53" customFormat="1" ht="20.100000000000001" customHeight="1" x14ac:dyDescent="0.15">
      <c r="A4" s="86"/>
      <c r="B4" s="22" t="s">
        <v>374</v>
      </c>
      <c r="C4" s="22" t="s">
        <v>384</v>
      </c>
      <c r="D4" s="22" t="s">
        <v>376</v>
      </c>
      <c r="E4" s="22" t="s">
        <v>377</v>
      </c>
      <c r="F4" s="22" t="s">
        <v>378</v>
      </c>
      <c r="G4" s="23" t="s">
        <v>385</v>
      </c>
      <c r="H4" s="88" t="s">
        <v>380</v>
      </c>
      <c r="I4" s="319"/>
      <c r="J4" s="65"/>
      <c r="K4" s="65"/>
      <c r="L4" s="65"/>
      <c r="M4" s="65"/>
      <c r="N4" s="65"/>
      <c r="O4" s="65"/>
      <c r="P4" s="65"/>
      <c r="Q4" s="65"/>
      <c r="R4" s="65"/>
    </row>
    <row r="5" spans="1:18" s="53" customFormat="1" ht="7.9" customHeight="1" x14ac:dyDescent="0.15">
      <c r="A5" s="86"/>
      <c r="B5" s="22"/>
      <c r="C5" s="22"/>
      <c r="D5" s="22"/>
      <c r="E5" s="22"/>
      <c r="F5" s="22"/>
      <c r="G5" s="23"/>
      <c r="H5" s="88"/>
      <c r="I5" s="319"/>
      <c r="J5" s="66"/>
      <c r="K5" s="65"/>
      <c r="L5" s="65"/>
      <c r="M5" s="65"/>
      <c r="N5" s="65"/>
      <c r="O5" s="65"/>
      <c r="P5" s="65"/>
      <c r="Q5" s="66"/>
      <c r="R5" s="173"/>
    </row>
    <row r="6" spans="1:18" s="53" customFormat="1" ht="9.9499999999999993" customHeight="1" x14ac:dyDescent="0.15">
      <c r="A6" s="929" t="s">
        <v>431</v>
      </c>
      <c r="B6" s="930">
        <v>49599</v>
      </c>
      <c r="C6" s="930">
        <v>31317</v>
      </c>
      <c r="D6" s="930">
        <v>9632</v>
      </c>
      <c r="E6" s="930">
        <v>15620</v>
      </c>
      <c r="F6" s="947">
        <v>21477</v>
      </c>
      <c r="G6" s="947">
        <f>SUM(B6:F6)</f>
        <v>127645</v>
      </c>
      <c r="H6" s="949">
        <v>1799434</v>
      </c>
      <c r="I6" s="322"/>
      <c r="J6" s="66"/>
      <c r="K6" s="348"/>
      <c r="L6" s="348"/>
      <c r="M6" s="348"/>
      <c r="N6" s="348"/>
      <c r="O6" s="348"/>
      <c r="P6" s="348"/>
      <c r="Q6" s="348"/>
      <c r="R6" s="173"/>
    </row>
    <row r="7" spans="1:18" s="53" customFormat="1" ht="7.9" customHeight="1" x14ac:dyDescent="0.15">
      <c r="A7" s="315"/>
      <c r="B7" s="315"/>
      <c r="C7" s="159"/>
      <c r="D7" s="159"/>
      <c r="E7" s="159"/>
      <c r="F7" s="159"/>
      <c r="G7" s="196"/>
      <c r="H7" s="159"/>
      <c r="I7" s="320"/>
      <c r="J7" s="65"/>
      <c r="K7" s="65"/>
      <c r="L7" s="65"/>
      <c r="M7" s="65"/>
      <c r="N7" s="65"/>
      <c r="O7" s="65"/>
      <c r="P7" s="65"/>
      <c r="Q7" s="65"/>
      <c r="R7" s="65"/>
    </row>
    <row r="8" spans="1:18" s="53" customFormat="1" ht="7.9" customHeight="1" x14ac:dyDescent="0.15">
      <c r="A8" s="929" t="s">
        <v>158</v>
      </c>
      <c r="B8" s="930"/>
      <c r="C8" s="930"/>
      <c r="D8" s="930"/>
      <c r="E8" s="930"/>
      <c r="F8" s="947"/>
      <c r="G8" s="947"/>
      <c r="H8" s="949"/>
      <c r="I8" s="322"/>
      <c r="J8" s="65"/>
      <c r="K8" s="65"/>
      <c r="L8" s="65"/>
      <c r="M8" s="65"/>
      <c r="N8" s="65"/>
      <c r="O8" s="65"/>
      <c r="P8" s="65"/>
      <c r="Q8" s="65"/>
      <c r="R8" s="65"/>
    </row>
    <row r="9" spans="1:18" s="53" customFormat="1" ht="7.9" customHeight="1" x14ac:dyDescent="0.15">
      <c r="A9" s="315" t="s">
        <v>152</v>
      </c>
      <c r="B9" s="808" t="s">
        <v>835</v>
      </c>
      <c r="C9" s="808" t="s">
        <v>835</v>
      </c>
      <c r="D9" s="808" t="s">
        <v>835</v>
      </c>
      <c r="E9" s="479">
        <v>92</v>
      </c>
      <c r="F9" s="808" t="s">
        <v>835</v>
      </c>
      <c r="G9" s="478">
        <v>273</v>
      </c>
      <c r="H9" s="479">
        <v>4352</v>
      </c>
      <c r="I9" s="322"/>
      <c r="J9" s="65"/>
      <c r="K9" s="65"/>
      <c r="L9" s="65"/>
      <c r="M9" s="352"/>
      <c r="N9" s="65"/>
      <c r="O9" s="65"/>
      <c r="P9" s="65"/>
      <c r="Q9" s="65"/>
      <c r="R9" s="65"/>
    </row>
    <row r="10" spans="1:18" s="53" customFormat="1" ht="7.9" customHeight="1" x14ac:dyDescent="0.15">
      <c r="A10" s="315" t="s">
        <v>153</v>
      </c>
      <c r="B10" s="808" t="s">
        <v>835</v>
      </c>
      <c r="C10" s="808" t="s">
        <v>835</v>
      </c>
      <c r="D10" s="808" t="s">
        <v>835</v>
      </c>
      <c r="E10" s="479">
        <v>120</v>
      </c>
      <c r="F10" s="808" t="s">
        <v>835</v>
      </c>
      <c r="G10" s="478">
        <v>285</v>
      </c>
      <c r="H10" s="479">
        <v>4674</v>
      </c>
      <c r="I10" s="322"/>
      <c r="J10" s="65"/>
      <c r="K10" s="65"/>
      <c r="L10" s="318"/>
      <c r="M10" s="352"/>
      <c r="N10" s="65"/>
      <c r="O10" s="65"/>
      <c r="P10" s="65"/>
      <c r="Q10" s="65"/>
      <c r="R10" s="65"/>
    </row>
    <row r="11" spans="1:18" s="53" customFormat="1" ht="7.9" customHeight="1" x14ac:dyDescent="0.15">
      <c r="A11" s="315" t="s">
        <v>203</v>
      </c>
      <c r="B11" s="479">
        <v>889</v>
      </c>
      <c r="C11" s="479">
        <v>426</v>
      </c>
      <c r="D11" s="479">
        <v>124</v>
      </c>
      <c r="E11" s="479">
        <v>185</v>
      </c>
      <c r="F11" s="479">
        <v>551</v>
      </c>
      <c r="G11" s="478">
        <f>SUM(B11:F11)</f>
        <v>2175</v>
      </c>
      <c r="H11" s="479">
        <v>26872</v>
      </c>
      <c r="I11" s="322"/>
      <c r="J11" s="65"/>
      <c r="K11" s="65"/>
      <c r="L11" s="318"/>
      <c r="M11" s="352"/>
      <c r="N11" s="65"/>
      <c r="O11" s="65"/>
      <c r="P11" s="65"/>
      <c r="Q11" s="65"/>
      <c r="R11" s="65"/>
    </row>
    <row r="12" spans="1:18" s="53" customFormat="1" ht="7.9" customHeight="1" x14ac:dyDescent="0.15">
      <c r="A12" s="315" t="s">
        <v>204</v>
      </c>
      <c r="G12" s="54"/>
      <c r="H12" s="54"/>
      <c r="I12" s="65"/>
      <c r="J12" s="65"/>
      <c r="K12" s="65"/>
      <c r="L12" s="318"/>
      <c r="M12" s="352"/>
      <c r="N12" s="65"/>
      <c r="O12" s="65"/>
      <c r="P12" s="65"/>
      <c r="Q12" s="65"/>
      <c r="R12" s="65"/>
    </row>
    <row r="13" spans="1:18" s="53" customFormat="1" ht="7.9" customHeight="1" x14ac:dyDescent="0.15">
      <c r="A13" s="315" t="s">
        <v>205</v>
      </c>
      <c r="B13" s="479">
        <v>37373</v>
      </c>
      <c r="C13" s="479">
        <v>24930</v>
      </c>
      <c r="D13" s="479">
        <v>7502</v>
      </c>
      <c r="E13" s="479">
        <v>12182</v>
      </c>
      <c r="F13" s="479">
        <v>16210</v>
      </c>
      <c r="G13" s="478">
        <f>SUM(B13:F13)</f>
        <v>98197</v>
      </c>
      <c r="H13" s="479">
        <v>1352035</v>
      </c>
      <c r="I13" s="322"/>
      <c r="J13" s="65"/>
      <c r="K13" s="65"/>
      <c r="L13" s="318"/>
      <c r="M13" s="352"/>
      <c r="N13" s="65"/>
      <c r="O13" s="65"/>
      <c r="P13" s="65"/>
      <c r="Q13" s="65"/>
      <c r="R13" s="65"/>
    </row>
    <row r="14" spans="1:18" s="53" customFormat="1" ht="7.9" customHeight="1" x14ac:dyDescent="0.15">
      <c r="A14" s="482" t="s">
        <v>154</v>
      </c>
      <c r="B14" s="480">
        <v>13035</v>
      </c>
      <c r="C14" s="480">
        <v>9187</v>
      </c>
      <c r="D14" s="480">
        <v>2695</v>
      </c>
      <c r="E14" s="480">
        <v>2976</v>
      </c>
      <c r="F14" s="480">
        <v>7274</v>
      </c>
      <c r="G14" s="620">
        <f>SUM(B14:F14)</f>
        <v>35167</v>
      </c>
      <c r="H14" s="480">
        <v>334396</v>
      </c>
      <c r="I14" s="322"/>
      <c r="J14" s="65"/>
      <c r="K14" s="65"/>
      <c r="L14" s="318"/>
      <c r="M14" s="352"/>
      <c r="N14" s="65"/>
      <c r="O14" s="65"/>
      <c r="P14" s="65"/>
      <c r="Q14" s="65"/>
      <c r="R14" s="65"/>
    </row>
    <row r="15" spans="1:18" s="53" customFormat="1" ht="7.9" customHeight="1" x14ac:dyDescent="0.15">
      <c r="A15" s="483" t="s">
        <v>155</v>
      </c>
      <c r="B15" s="480">
        <v>2428</v>
      </c>
      <c r="C15" s="480">
        <v>1472</v>
      </c>
      <c r="D15" s="480">
        <v>212</v>
      </c>
      <c r="E15" s="480">
        <v>1312</v>
      </c>
      <c r="F15" s="480">
        <v>937</v>
      </c>
      <c r="G15" s="620">
        <f>SUM(B15:F15)</f>
        <v>6361</v>
      </c>
      <c r="H15" s="480">
        <v>128156</v>
      </c>
      <c r="I15" s="322"/>
      <c r="J15" s="65"/>
      <c r="K15" s="65"/>
      <c r="L15" s="318"/>
      <c r="M15" s="352"/>
      <c r="N15" s="65"/>
      <c r="O15" s="65"/>
      <c r="P15" s="65"/>
      <c r="Q15" s="65"/>
      <c r="R15" s="65"/>
    </row>
    <row r="16" spans="1:18" s="53" customFormat="1" ht="7.9" customHeight="1" x14ac:dyDescent="0.15">
      <c r="A16" s="482" t="s">
        <v>156</v>
      </c>
      <c r="B16" s="480">
        <v>21910</v>
      </c>
      <c r="C16" s="480">
        <v>14271</v>
      </c>
      <c r="D16" s="480">
        <v>4595</v>
      </c>
      <c r="E16" s="480">
        <v>7894</v>
      </c>
      <c r="F16" s="480">
        <v>7999</v>
      </c>
      <c r="G16" s="620">
        <f>SUM(B16:F16)</f>
        <v>56669</v>
      </c>
      <c r="H16" s="480">
        <v>889483</v>
      </c>
      <c r="I16" s="322"/>
      <c r="J16" s="65"/>
      <c r="K16" s="65"/>
      <c r="L16" s="318"/>
      <c r="M16" s="352"/>
      <c r="N16" s="65"/>
      <c r="O16" s="65"/>
      <c r="P16" s="65"/>
      <c r="Q16" s="65"/>
      <c r="R16" s="65"/>
    </row>
    <row r="17" spans="1:19" ht="7.9" customHeight="1" x14ac:dyDescent="0.15">
      <c r="A17" s="315" t="s">
        <v>502</v>
      </c>
      <c r="B17" s="479">
        <v>7405</v>
      </c>
      <c r="C17" s="479">
        <v>3713</v>
      </c>
      <c r="D17" s="479">
        <v>855</v>
      </c>
      <c r="E17" s="479">
        <v>2070</v>
      </c>
      <c r="F17" s="479">
        <v>2598</v>
      </c>
      <c r="G17" s="478">
        <f>SUM(B17:F17)</f>
        <v>16641</v>
      </c>
      <c r="H17" s="479">
        <v>291279</v>
      </c>
      <c r="I17" s="322"/>
      <c r="L17" s="318"/>
      <c r="M17" s="352"/>
      <c r="P17" s="53"/>
      <c r="Q17" s="53"/>
      <c r="R17" s="53"/>
      <c r="S17" s="53"/>
    </row>
    <row r="18" spans="1:19" ht="7.9" customHeight="1" x14ac:dyDescent="0.15">
      <c r="A18" s="485" t="s">
        <v>714</v>
      </c>
      <c r="B18" s="486">
        <v>3573</v>
      </c>
      <c r="C18" s="486">
        <v>1164</v>
      </c>
      <c r="D18" s="486">
        <v>254</v>
      </c>
      <c r="E18" s="486">
        <v>658</v>
      </c>
      <c r="F18" s="486">
        <v>859</v>
      </c>
      <c r="G18" s="487">
        <v>6508</v>
      </c>
      <c r="H18" s="488">
        <v>90552</v>
      </c>
      <c r="I18" s="322"/>
      <c r="L18" s="318"/>
      <c r="M18" s="352"/>
      <c r="P18" s="53"/>
      <c r="Q18" s="53"/>
      <c r="R18" s="53"/>
      <c r="S18" s="53"/>
    </row>
    <row r="19" spans="1:19" ht="7.9" customHeight="1" x14ac:dyDescent="0.15">
      <c r="A19" s="483" t="s">
        <v>715</v>
      </c>
      <c r="B19" s="486">
        <v>667</v>
      </c>
      <c r="C19" s="486">
        <v>330</v>
      </c>
      <c r="D19" s="486">
        <v>79</v>
      </c>
      <c r="E19" s="486">
        <v>206</v>
      </c>
      <c r="F19" s="486">
        <v>139</v>
      </c>
      <c r="G19" s="487">
        <v>1421</v>
      </c>
      <c r="H19" s="486">
        <v>32071</v>
      </c>
      <c r="I19" s="322"/>
      <c r="L19" s="318"/>
      <c r="M19" s="352"/>
      <c r="P19" s="53"/>
      <c r="Q19" s="53"/>
      <c r="R19" s="53"/>
      <c r="S19" s="53"/>
    </row>
    <row r="20" spans="1:19" ht="7.9" customHeight="1" x14ac:dyDescent="0.15">
      <c r="A20" s="484" t="s">
        <v>469</v>
      </c>
      <c r="B20" s="479">
        <v>3847</v>
      </c>
      <c r="C20" s="479">
        <v>2119</v>
      </c>
      <c r="D20" s="479">
        <v>1065</v>
      </c>
      <c r="E20" s="479">
        <v>971</v>
      </c>
      <c r="F20" s="479">
        <v>2072</v>
      </c>
      <c r="G20" s="478">
        <f t="shared" ref="G20" si="0">SUM(B20:F20)</f>
        <v>10074</v>
      </c>
      <c r="H20" s="479">
        <v>120222</v>
      </c>
      <c r="I20" s="322"/>
      <c r="L20" s="318"/>
      <c r="M20" s="352"/>
      <c r="P20" s="53"/>
      <c r="Q20" s="53"/>
      <c r="R20" s="53"/>
      <c r="S20" s="53"/>
    </row>
    <row r="21" spans="1:19" ht="7.9" customHeight="1" x14ac:dyDescent="0.15">
      <c r="A21" s="336"/>
      <c r="B21" s="459"/>
      <c r="C21" s="459"/>
      <c r="D21" s="459"/>
      <c r="E21" s="459"/>
      <c r="F21" s="459"/>
      <c r="G21" s="451"/>
      <c r="H21" s="393"/>
      <c r="I21" s="322"/>
      <c r="L21" s="318"/>
      <c r="M21" s="352"/>
      <c r="P21" s="53"/>
      <c r="Q21" s="53"/>
      <c r="R21" s="53"/>
      <c r="S21" s="53"/>
    </row>
    <row r="22" spans="1:19" ht="7.9" customHeight="1" x14ac:dyDescent="0.15">
      <c r="A22" s="929" t="s">
        <v>948</v>
      </c>
      <c r="B22" s="930">
        <f>13+1+12+48+2+1+33+1</f>
        <v>111</v>
      </c>
      <c r="C22" s="930">
        <f>7+1+34+1+1+21</f>
        <v>65</v>
      </c>
      <c r="D22" s="930">
        <f>1+16+1+10</f>
        <v>28</v>
      </c>
      <c r="E22" s="930">
        <f>7+24+2+11</f>
        <v>44</v>
      </c>
      <c r="F22" s="947">
        <f>24+1+1+8</f>
        <v>34</v>
      </c>
      <c r="G22" s="947">
        <f>SUM(B22:F22)</f>
        <v>282</v>
      </c>
      <c r="H22" s="949" t="s">
        <v>239</v>
      </c>
      <c r="J22" s="593"/>
      <c r="K22" s="593"/>
      <c r="L22" s="593"/>
      <c r="M22" s="593"/>
      <c r="N22" s="593"/>
      <c r="P22" s="53"/>
      <c r="Q22" s="53"/>
      <c r="R22" s="53"/>
      <c r="S22" s="53"/>
    </row>
    <row r="23" spans="1:19" ht="7.9" customHeight="1" thickBot="1" x14ac:dyDescent="0.2">
      <c r="A23" s="1008"/>
      <c r="B23" s="1009"/>
      <c r="C23" s="1009"/>
      <c r="D23" s="1009"/>
      <c r="E23" s="1009"/>
      <c r="F23" s="1009"/>
      <c r="G23" s="1009"/>
      <c r="H23" s="1009"/>
      <c r="I23" s="247"/>
      <c r="L23" s="318"/>
      <c r="M23" s="352"/>
      <c r="P23" s="53"/>
      <c r="Q23" s="53"/>
      <c r="R23" s="53"/>
      <c r="S23" s="53"/>
    </row>
    <row r="24" spans="1:19" ht="7.9" customHeight="1" thickTop="1" x14ac:dyDescent="0.15">
      <c r="A24" s="55" t="s">
        <v>700</v>
      </c>
      <c r="B24" s="492"/>
      <c r="C24" s="492"/>
      <c r="D24" s="492"/>
      <c r="E24" s="492"/>
      <c r="F24" s="492"/>
      <c r="G24" s="493"/>
      <c r="H24" s="492"/>
      <c r="I24" s="491"/>
      <c r="L24" s="318"/>
      <c r="M24" s="352"/>
      <c r="P24" s="53"/>
      <c r="Q24" s="53"/>
      <c r="R24" s="53"/>
      <c r="S24" s="53"/>
    </row>
    <row r="25" spans="1:19" ht="7.9" customHeight="1" x14ac:dyDescent="0.15">
      <c r="A25" s="55" t="s">
        <v>159</v>
      </c>
      <c r="B25" s="492"/>
      <c r="C25" s="492"/>
      <c r="D25" s="492"/>
      <c r="E25" s="492"/>
      <c r="F25" s="492"/>
      <c r="G25" s="493"/>
      <c r="H25" s="492"/>
      <c r="I25" s="491"/>
      <c r="L25" s="318"/>
      <c r="M25" s="352"/>
      <c r="N25" s="53"/>
      <c r="O25" s="53"/>
      <c r="P25" s="53"/>
      <c r="Q25" s="53"/>
      <c r="R25" s="53"/>
      <c r="S25" s="53"/>
    </row>
    <row r="26" spans="1:19" ht="7.9" customHeight="1" x14ac:dyDescent="0.15">
      <c r="A26" s="39" t="s">
        <v>503</v>
      </c>
      <c r="B26" s="492"/>
      <c r="C26" s="492"/>
      <c r="D26" s="492"/>
      <c r="E26" s="492"/>
      <c r="F26" s="492"/>
      <c r="G26" s="493"/>
      <c r="H26" s="492"/>
      <c r="I26" s="491"/>
      <c r="L26" s="318"/>
      <c r="M26" s="352"/>
      <c r="N26" s="53"/>
      <c r="O26" s="53"/>
      <c r="P26" s="53"/>
      <c r="Q26" s="53"/>
      <c r="R26" s="53"/>
      <c r="S26" s="53"/>
    </row>
    <row r="27" spans="1:19" ht="7.9" customHeight="1" x14ac:dyDescent="0.15">
      <c r="A27" s="509" t="s">
        <v>504</v>
      </c>
      <c r="B27" s="315"/>
      <c r="C27" s="159"/>
      <c r="D27" s="159"/>
      <c r="E27" s="159"/>
      <c r="F27" s="159"/>
      <c r="G27" s="196"/>
      <c r="H27" s="159"/>
      <c r="I27" s="320"/>
      <c r="L27" s="318"/>
      <c r="M27" s="352"/>
      <c r="N27" s="53"/>
      <c r="O27" s="53"/>
      <c r="P27" s="53"/>
      <c r="Q27" s="53"/>
      <c r="R27" s="53"/>
      <c r="S27" s="53"/>
    </row>
    <row r="28" spans="1:19" ht="7.5" customHeight="1" x14ac:dyDescent="0.15">
      <c r="A28" s="39" t="s">
        <v>356</v>
      </c>
    </row>
    <row r="29" spans="1:19" ht="9.9499999999999993" customHeight="1" x14ac:dyDescent="0.15">
      <c r="A29" s="53" t="s">
        <v>768</v>
      </c>
      <c r="H29" s="53"/>
      <c r="N29" s="53"/>
      <c r="O29" s="53"/>
      <c r="P29" s="53"/>
      <c r="Q29" s="53"/>
      <c r="R29" s="53"/>
      <c r="S29" s="53"/>
    </row>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dimension ref="A1:L29"/>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28515625" style="54" customWidth="1"/>
    <col min="9" max="9" width="5.5703125" style="173" customWidth="1"/>
    <col min="10" max="12" width="11.42578125" style="65" customWidth="1"/>
    <col min="13" max="16384" width="11.42578125" style="53"/>
  </cols>
  <sheetData>
    <row r="1" spans="1:12" ht="15.6" customHeight="1" x14ac:dyDescent="0.15">
      <c r="A1" s="1019" t="s">
        <v>1028</v>
      </c>
      <c r="B1" s="1019"/>
      <c r="C1" s="1019"/>
      <c r="D1" s="1019"/>
      <c r="E1" s="1019"/>
      <c r="F1" s="1019"/>
      <c r="G1" s="1019"/>
      <c r="H1" s="1019"/>
    </row>
    <row r="2" spans="1:12" ht="9.9499999999999993" customHeight="1" x14ac:dyDescent="0.15">
      <c r="A2" s="1021" t="s">
        <v>710</v>
      </c>
      <c r="B2" s="1021"/>
      <c r="C2" s="1021"/>
      <c r="D2" s="1021"/>
      <c r="E2" s="1021"/>
      <c r="F2" s="1021"/>
      <c r="G2" s="1021"/>
      <c r="H2" s="1021"/>
    </row>
    <row r="3" spans="1:12" s="65" customFormat="1" ht="7.9" customHeight="1" x14ac:dyDescent="0.15">
      <c r="A3" s="329"/>
      <c r="B3" s="329"/>
      <c r="C3" s="329"/>
      <c r="D3" s="329"/>
      <c r="E3" s="329"/>
      <c r="F3" s="329"/>
      <c r="G3" s="329"/>
      <c r="H3" s="329"/>
      <c r="I3" s="173"/>
    </row>
    <row r="4" spans="1:12" ht="20.100000000000001" customHeight="1" x14ac:dyDescent="0.15">
      <c r="A4" s="86"/>
      <c r="B4" s="22" t="s">
        <v>374</v>
      </c>
      <c r="C4" s="22" t="s">
        <v>384</v>
      </c>
      <c r="D4" s="22" t="s">
        <v>376</v>
      </c>
      <c r="E4" s="22" t="s">
        <v>377</v>
      </c>
      <c r="F4" s="22" t="s">
        <v>378</v>
      </c>
      <c r="G4" s="23" t="s">
        <v>385</v>
      </c>
      <c r="H4" s="88" t="s">
        <v>380</v>
      </c>
    </row>
    <row r="5" spans="1:12" ht="7.9" customHeight="1" x14ac:dyDescent="0.15">
      <c r="A5" s="86"/>
      <c r="B5" s="22"/>
      <c r="C5" s="22"/>
      <c r="D5" s="22"/>
      <c r="E5" s="22"/>
      <c r="F5" s="22"/>
      <c r="G5" s="23"/>
      <c r="H5" s="88"/>
    </row>
    <row r="6" spans="1:12" ht="9.9499999999999993" customHeight="1" x14ac:dyDescent="0.15">
      <c r="A6" s="929" t="s">
        <v>168</v>
      </c>
      <c r="B6" s="999">
        <v>41264</v>
      </c>
      <c r="C6" s="999">
        <v>25572</v>
      </c>
      <c r="D6" s="999">
        <v>7918</v>
      </c>
      <c r="E6" s="999">
        <v>12940</v>
      </c>
      <c r="F6" s="999">
        <v>17897</v>
      </c>
      <c r="G6" s="999">
        <v>105591</v>
      </c>
      <c r="H6" s="999">
        <v>1500644</v>
      </c>
    </row>
    <row r="7" spans="1:12" ht="7.9" customHeight="1" x14ac:dyDescent="0.15">
      <c r="A7" s="315"/>
      <c r="B7" s="368"/>
      <c r="C7" s="159"/>
      <c r="D7" s="159"/>
      <c r="E7" s="159"/>
      <c r="F7" s="159"/>
      <c r="G7" s="196"/>
      <c r="H7" s="159"/>
    </row>
    <row r="8" spans="1:12" ht="7.9" customHeight="1" x14ac:dyDescent="0.15">
      <c r="A8" s="929" t="s">
        <v>160</v>
      </c>
      <c r="B8" s="999"/>
      <c r="C8" s="999"/>
      <c r="D8" s="999"/>
      <c r="E8" s="999"/>
      <c r="F8" s="999"/>
      <c r="G8" s="999"/>
      <c r="H8" s="999"/>
    </row>
    <row r="9" spans="1:12" ht="7.9" customHeight="1" x14ac:dyDescent="0.15">
      <c r="A9" s="315" t="s">
        <v>152</v>
      </c>
      <c r="B9" s="489" t="s">
        <v>835</v>
      </c>
      <c r="C9" s="489" t="s">
        <v>835</v>
      </c>
      <c r="D9" s="489" t="s">
        <v>835</v>
      </c>
      <c r="E9" s="489" t="s">
        <v>835</v>
      </c>
      <c r="F9" s="489" t="s">
        <v>835</v>
      </c>
      <c r="G9" s="496">
        <v>229</v>
      </c>
      <c r="H9" s="489" t="s">
        <v>835</v>
      </c>
      <c r="L9" s="352"/>
    </row>
    <row r="10" spans="1:12" ht="7.9" customHeight="1" x14ac:dyDescent="0.15">
      <c r="A10" s="315" t="s">
        <v>153</v>
      </c>
      <c r="B10" s="489" t="s">
        <v>835</v>
      </c>
      <c r="C10" s="489" t="s">
        <v>835</v>
      </c>
      <c r="D10" s="489" t="s">
        <v>835</v>
      </c>
      <c r="E10" s="479">
        <v>112</v>
      </c>
      <c r="F10" s="489" t="s">
        <v>835</v>
      </c>
      <c r="G10" s="496">
        <v>218</v>
      </c>
      <c r="H10" s="489" t="s">
        <v>835</v>
      </c>
      <c r="K10" s="318"/>
      <c r="L10" s="352"/>
    </row>
    <row r="11" spans="1:12" ht="7.9" customHeight="1" x14ac:dyDescent="0.15">
      <c r="A11" s="315" t="s">
        <v>203</v>
      </c>
      <c r="B11" s="479">
        <v>768</v>
      </c>
      <c r="C11" s="489" t="s">
        <v>835</v>
      </c>
      <c r="D11" s="489">
        <v>113</v>
      </c>
      <c r="E11" s="489" t="s">
        <v>835</v>
      </c>
      <c r="F11" s="489" t="s">
        <v>835</v>
      </c>
      <c r="G11" s="496">
        <v>1938</v>
      </c>
      <c r="H11" s="479">
        <v>24452</v>
      </c>
      <c r="K11" s="318"/>
      <c r="L11" s="352"/>
    </row>
    <row r="12" spans="1:12" ht="7.9" customHeight="1" x14ac:dyDescent="0.15">
      <c r="A12" s="315" t="s">
        <v>204</v>
      </c>
      <c r="B12" s="51"/>
      <c r="C12" s="51"/>
      <c r="D12" s="51"/>
      <c r="E12" s="51"/>
      <c r="F12" s="51"/>
      <c r="G12" s="52"/>
      <c r="H12" s="51"/>
      <c r="I12" s="65"/>
      <c r="K12" s="318"/>
      <c r="L12" s="352"/>
    </row>
    <row r="13" spans="1:12" ht="7.9" customHeight="1" x14ac:dyDescent="0.15">
      <c r="A13" s="315" t="s">
        <v>205</v>
      </c>
      <c r="B13" s="51">
        <v>31069</v>
      </c>
      <c r="C13" s="51">
        <v>20226</v>
      </c>
      <c r="D13" s="51">
        <v>6224</v>
      </c>
      <c r="E13" s="51">
        <v>10099</v>
      </c>
      <c r="F13" s="51">
        <v>13319</v>
      </c>
      <c r="G13" s="52">
        <v>80937</v>
      </c>
      <c r="H13" s="51">
        <v>1120737</v>
      </c>
      <c r="K13" s="318"/>
      <c r="L13" s="352"/>
    </row>
    <row r="14" spans="1:12" s="86" customFormat="1" ht="7.9" customHeight="1" x14ac:dyDescent="0.15">
      <c r="A14" s="482" t="s">
        <v>154</v>
      </c>
      <c r="B14" s="715">
        <v>11500</v>
      </c>
      <c r="C14" s="715" t="s">
        <v>835</v>
      </c>
      <c r="D14" s="715" t="s">
        <v>835</v>
      </c>
      <c r="E14" s="715">
        <v>2634</v>
      </c>
      <c r="F14" s="715" t="s">
        <v>835</v>
      </c>
      <c r="G14" s="196">
        <v>30055</v>
      </c>
      <c r="H14" s="715" t="s">
        <v>835</v>
      </c>
      <c r="I14" s="349"/>
      <c r="J14" s="99"/>
      <c r="K14" s="494"/>
      <c r="L14" s="495"/>
    </row>
    <row r="15" spans="1:12" s="86" customFormat="1" ht="7.9" customHeight="1" x14ac:dyDescent="0.15">
      <c r="A15" s="483" t="s">
        <v>155</v>
      </c>
      <c r="B15" s="715">
        <v>1967</v>
      </c>
      <c r="C15" s="715" t="s">
        <v>835</v>
      </c>
      <c r="D15" s="715" t="s">
        <v>835</v>
      </c>
      <c r="E15" s="715">
        <v>1131</v>
      </c>
      <c r="F15" s="715" t="s">
        <v>835</v>
      </c>
      <c r="G15" s="196">
        <v>5278</v>
      </c>
      <c r="H15" s="715" t="s">
        <v>835</v>
      </c>
      <c r="I15" s="349"/>
      <c r="J15" s="99"/>
      <c r="K15" s="494"/>
      <c r="L15" s="495"/>
    </row>
    <row r="16" spans="1:12" s="86" customFormat="1" ht="7.9" customHeight="1" x14ac:dyDescent="0.15">
      <c r="A16" s="482" t="s">
        <v>156</v>
      </c>
      <c r="B16" s="715">
        <v>17602</v>
      </c>
      <c r="C16" s="715">
        <v>11505</v>
      </c>
      <c r="D16" s="715">
        <v>3709</v>
      </c>
      <c r="E16" s="715">
        <v>6334</v>
      </c>
      <c r="F16" s="715">
        <v>6454</v>
      </c>
      <c r="G16" s="196">
        <v>45604</v>
      </c>
      <c r="H16" s="159">
        <v>724376</v>
      </c>
      <c r="I16" s="349"/>
      <c r="J16" s="99"/>
      <c r="K16" s="494"/>
      <c r="L16" s="495"/>
    </row>
    <row r="17" spans="1:12" ht="7.9" customHeight="1" x14ac:dyDescent="0.15">
      <c r="A17" s="315" t="s">
        <v>502</v>
      </c>
      <c r="B17" s="51">
        <v>5927</v>
      </c>
      <c r="C17" s="51">
        <v>3122</v>
      </c>
      <c r="D17" s="489">
        <v>750</v>
      </c>
      <c r="E17" s="489" t="s">
        <v>835</v>
      </c>
      <c r="F17" s="489" t="s">
        <v>835</v>
      </c>
      <c r="G17" s="52">
        <v>13741</v>
      </c>
      <c r="H17" s="51">
        <v>242549</v>
      </c>
      <c r="K17" s="318"/>
      <c r="L17" s="352"/>
    </row>
    <row r="18" spans="1:12" s="86" customFormat="1" ht="7.9" customHeight="1" x14ac:dyDescent="0.15">
      <c r="A18" s="485" t="s">
        <v>714</v>
      </c>
      <c r="B18" s="715" t="s">
        <v>835</v>
      </c>
      <c r="C18" s="715" t="s">
        <v>835</v>
      </c>
      <c r="D18" s="715" t="s">
        <v>835</v>
      </c>
      <c r="E18" s="715" t="s">
        <v>835</v>
      </c>
      <c r="F18" s="715" t="s">
        <v>835</v>
      </c>
      <c r="G18" s="716">
        <v>4735</v>
      </c>
      <c r="H18" s="715" t="s">
        <v>835</v>
      </c>
      <c r="I18" s="641"/>
      <c r="J18" s="99"/>
      <c r="K18" s="494"/>
      <c r="L18" s="495"/>
    </row>
    <row r="19" spans="1:12" s="86" customFormat="1" ht="7.9" customHeight="1" x14ac:dyDescent="0.15">
      <c r="A19" s="483" t="s">
        <v>715</v>
      </c>
      <c r="B19" s="715" t="s">
        <v>835</v>
      </c>
      <c r="C19" s="715" t="s">
        <v>835</v>
      </c>
      <c r="D19" s="715" t="s">
        <v>835</v>
      </c>
      <c r="E19" s="715" t="s">
        <v>835</v>
      </c>
      <c r="F19" s="715" t="s">
        <v>835</v>
      </c>
      <c r="G19" s="716">
        <v>1630</v>
      </c>
      <c r="H19" s="715" t="s">
        <v>835</v>
      </c>
      <c r="I19" s="641"/>
      <c r="J19" s="99"/>
      <c r="K19" s="494"/>
      <c r="L19" s="495"/>
    </row>
    <row r="20" spans="1:12" ht="7.9" customHeight="1" x14ac:dyDescent="0.15">
      <c r="A20" s="315" t="s">
        <v>469</v>
      </c>
      <c r="B20" s="479">
        <v>3438</v>
      </c>
      <c r="C20" s="479">
        <v>1812</v>
      </c>
      <c r="D20" s="489">
        <v>771</v>
      </c>
      <c r="E20" s="479">
        <v>793</v>
      </c>
      <c r="F20" s="489">
        <v>1714</v>
      </c>
      <c r="G20" s="478">
        <v>8528</v>
      </c>
      <c r="H20" s="479">
        <v>104572</v>
      </c>
      <c r="K20" s="318"/>
      <c r="L20" s="352"/>
    </row>
    <row r="21" spans="1:12" ht="7.9" customHeight="1" thickBot="1" x14ac:dyDescent="0.2">
      <c r="A21" s="1008"/>
      <c r="B21" s="1009"/>
      <c r="C21" s="1009"/>
      <c r="D21" s="1009"/>
      <c r="E21" s="1009"/>
      <c r="F21" s="1009"/>
      <c r="G21" s="1009"/>
      <c r="H21" s="1009"/>
      <c r="K21" s="318"/>
      <c r="L21" s="352"/>
    </row>
    <row r="22" spans="1:12" ht="7.9" customHeight="1" thickTop="1" x14ac:dyDescent="0.15">
      <c r="A22" s="55" t="s">
        <v>161</v>
      </c>
      <c r="B22" s="313"/>
      <c r="C22" s="313"/>
      <c r="D22" s="313"/>
      <c r="E22" s="313"/>
      <c r="F22" s="313"/>
      <c r="G22" s="314"/>
      <c r="H22" s="313"/>
      <c r="K22" s="318"/>
      <c r="L22" s="352"/>
    </row>
    <row r="23" spans="1:12" ht="7.9" customHeight="1" x14ac:dyDescent="0.15">
      <c r="A23" s="55" t="s">
        <v>162</v>
      </c>
      <c r="B23" s="315"/>
      <c r="C23" s="159"/>
      <c r="D23" s="159"/>
      <c r="E23" s="159"/>
      <c r="F23" s="159"/>
      <c r="G23" s="196"/>
      <c r="H23" s="159"/>
      <c r="K23" s="318"/>
      <c r="L23" s="352"/>
    </row>
    <row r="24" spans="1:12" ht="7.9" customHeight="1" x14ac:dyDescent="0.15">
      <c r="A24" s="39" t="s">
        <v>503</v>
      </c>
      <c r="B24" s="315"/>
      <c r="C24" s="159"/>
      <c r="D24" s="159"/>
      <c r="E24" s="159"/>
      <c r="F24" s="159"/>
      <c r="G24" s="196"/>
      <c r="H24" s="159"/>
      <c r="K24" s="318"/>
      <c r="L24" s="352"/>
    </row>
    <row r="25" spans="1:12" ht="9.9499999999999993" customHeight="1" x14ac:dyDescent="0.15">
      <c r="A25" s="39" t="s">
        <v>356</v>
      </c>
    </row>
    <row r="29" spans="1:12" ht="9.9499999999999993" customHeight="1" x14ac:dyDescent="0.15">
      <c r="B29" s="905"/>
      <c r="G29" s="53">
        <f>G16/G6</f>
        <v>0.43189286965745188</v>
      </c>
      <c r="H29" s="53">
        <f>H16/H6</f>
        <v>0.48271008980144525</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dimension ref="A1:M33"/>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28515625" style="54" customWidth="1"/>
    <col min="9" max="9" width="5.28515625" style="173" customWidth="1"/>
    <col min="10" max="13" width="11.42578125" style="65" customWidth="1"/>
    <col min="14" max="16384" width="11.42578125" style="53"/>
  </cols>
  <sheetData>
    <row r="1" spans="1:12" ht="15.6" customHeight="1" x14ac:dyDescent="0.15">
      <c r="A1" s="1019" t="s">
        <v>163</v>
      </c>
      <c r="B1" s="1019"/>
      <c r="C1" s="1019"/>
      <c r="D1" s="1019"/>
      <c r="E1" s="1019"/>
      <c r="F1" s="1019"/>
      <c r="G1" s="1019"/>
      <c r="H1" s="1019"/>
    </row>
    <row r="2" spans="1:12" ht="9.9499999999999993" customHeight="1" x14ac:dyDescent="0.15">
      <c r="A2" s="1021" t="s">
        <v>703</v>
      </c>
      <c r="B2" s="1021"/>
      <c r="C2" s="1021"/>
      <c r="D2" s="1021"/>
      <c r="E2" s="1021"/>
      <c r="F2" s="1021"/>
      <c r="G2" s="1021"/>
      <c r="H2" s="1021"/>
    </row>
    <row r="3" spans="1:12" ht="7.9" customHeight="1" x14ac:dyDescent="0.15">
      <c r="A3" s="329"/>
      <c r="B3" s="329"/>
      <c r="C3" s="329"/>
      <c r="D3" s="329"/>
      <c r="E3" s="329"/>
      <c r="F3" s="329"/>
      <c r="G3" s="329"/>
      <c r="H3" s="329"/>
    </row>
    <row r="4" spans="1:12" ht="20.100000000000001" customHeight="1" x14ac:dyDescent="0.2">
      <c r="A4" s="86"/>
      <c r="B4" s="22" t="s">
        <v>374</v>
      </c>
      <c r="C4" s="22" t="s">
        <v>384</v>
      </c>
      <c r="D4" s="22" t="s">
        <v>376</v>
      </c>
      <c r="E4" s="22" t="s">
        <v>377</v>
      </c>
      <c r="F4" s="22" t="s">
        <v>378</v>
      </c>
      <c r="G4" s="23" t="s">
        <v>385</v>
      </c>
      <c r="H4" s="88" t="s">
        <v>380</v>
      </c>
      <c r="J4" s="374"/>
    </row>
    <row r="5" spans="1:12" ht="7.9" customHeight="1" x14ac:dyDescent="0.15">
      <c r="A5" s="86"/>
      <c r="B5" s="22"/>
      <c r="C5" s="22"/>
      <c r="D5" s="22"/>
      <c r="E5" s="22"/>
      <c r="F5" s="22"/>
      <c r="G5" s="23"/>
      <c r="H5" s="88"/>
    </row>
    <row r="6" spans="1:12" ht="9.9499999999999993" customHeight="1" x14ac:dyDescent="0.15">
      <c r="A6" s="929" t="s">
        <v>1037</v>
      </c>
      <c r="B6" s="1000">
        <v>9.1790792447457872E-2</v>
      </c>
      <c r="C6" s="1000">
        <v>0.10757283840516915</v>
      </c>
      <c r="D6" s="1000">
        <v>8.6160743432936518E-2</v>
      </c>
      <c r="E6" s="1000">
        <v>8.0608488185935245E-2</v>
      </c>
      <c r="F6" s="1000">
        <v>9.3006215311701002E-2</v>
      </c>
      <c r="G6" s="1000">
        <v>9.3268628595807673E-2</v>
      </c>
      <c r="H6" s="1000">
        <v>7.5060700547998072E-2</v>
      </c>
    </row>
    <row r="7" spans="1:12" ht="7.9" customHeight="1" x14ac:dyDescent="0.15">
      <c r="A7" s="315" t="s">
        <v>204</v>
      </c>
      <c r="B7" s="369"/>
      <c r="C7" s="370"/>
      <c r="D7" s="370"/>
      <c r="E7" s="370"/>
      <c r="F7" s="370"/>
      <c r="G7" s="371"/>
      <c r="H7" s="370"/>
      <c r="I7" s="65"/>
      <c r="K7" s="318"/>
      <c r="L7" s="352"/>
    </row>
    <row r="8" spans="1:12" ht="7.9" customHeight="1" x14ac:dyDescent="0.15">
      <c r="A8" s="733" t="s">
        <v>693</v>
      </c>
      <c r="B8" s="497">
        <v>0.23058311872407061</v>
      </c>
      <c r="C8" s="497">
        <v>0.26593212984998094</v>
      </c>
      <c r="D8" s="497">
        <v>0.22670649085743425</v>
      </c>
      <c r="E8" s="497">
        <v>0.19774044486215539</v>
      </c>
      <c r="F8" s="497">
        <v>0.26073253332811308</v>
      </c>
      <c r="G8" s="498">
        <v>0.23776538085292018</v>
      </c>
      <c r="H8" s="497">
        <v>0.17552979052706064</v>
      </c>
      <c r="K8" s="318"/>
      <c r="L8" s="352"/>
    </row>
    <row r="9" spans="1:12" ht="7.9" customHeight="1" x14ac:dyDescent="0.15">
      <c r="A9" s="483" t="s">
        <v>689</v>
      </c>
      <c r="B9" s="472">
        <v>0.32327889129395893</v>
      </c>
      <c r="C9" s="472" t="s">
        <v>239</v>
      </c>
      <c r="D9" s="472" t="s">
        <v>239</v>
      </c>
      <c r="E9" s="472">
        <v>0.20688030160226201</v>
      </c>
      <c r="F9" s="472" t="s">
        <v>239</v>
      </c>
      <c r="G9" s="500">
        <v>0.34577772664519096</v>
      </c>
      <c r="H9" s="472" t="s">
        <v>239</v>
      </c>
      <c r="I9" s="349"/>
      <c r="K9" s="318"/>
      <c r="L9" s="352"/>
    </row>
    <row r="10" spans="1:12" ht="7.9" customHeight="1" x14ac:dyDescent="0.15">
      <c r="A10" s="483" t="s">
        <v>690</v>
      </c>
      <c r="B10" s="472">
        <v>7.2324153399271979E-2</v>
      </c>
      <c r="C10" s="472" t="s">
        <v>239</v>
      </c>
      <c r="D10" s="472" t="s">
        <v>239</v>
      </c>
      <c r="E10" s="472">
        <v>9.9858732120784041E-2</v>
      </c>
      <c r="F10" s="472" t="s">
        <v>239</v>
      </c>
      <c r="G10" s="500">
        <v>7.3307591877552147E-2</v>
      </c>
      <c r="H10" s="472" t="s">
        <v>239</v>
      </c>
      <c r="I10" s="349"/>
      <c r="K10" s="318"/>
      <c r="L10" s="352"/>
    </row>
    <row r="11" spans="1:12" ht="7.9" customHeight="1" x14ac:dyDescent="0.15">
      <c r="A11" s="483" t="s">
        <v>691</v>
      </c>
      <c r="B11" s="472">
        <v>0.62551528073916129</v>
      </c>
      <c r="C11" s="472">
        <v>0.64259383378016088</v>
      </c>
      <c r="D11" s="472">
        <v>0.51607068317796023</v>
      </c>
      <c r="E11" s="472">
        <v>0.54118250170881754</v>
      </c>
      <c r="F11" s="472">
        <v>0.50834908632640197</v>
      </c>
      <c r="G11" s="500">
        <v>0.58744573688346147</v>
      </c>
      <c r="H11" s="499">
        <v>0.5594522685058253</v>
      </c>
      <c r="I11" s="349"/>
      <c r="K11" s="318"/>
      <c r="L11" s="352"/>
    </row>
    <row r="12" spans="1:12" ht="7.9" customHeight="1" x14ac:dyDescent="0.15">
      <c r="A12" s="733" t="s">
        <v>500</v>
      </c>
      <c r="B12" s="592">
        <v>0.4156964511151634</v>
      </c>
      <c r="C12" s="592">
        <v>0.42343686423436866</v>
      </c>
      <c r="D12" s="334">
        <v>0.31302170283806346</v>
      </c>
      <c r="E12" s="334" t="s">
        <v>239</v>
      </c>
      <c r="F12" s="588" t="s">
        <v>239</v>
      </c>
      <c r="G12" s="498">
        <v>0.39065787229203391</v>
      </c>
      <c r="H12" s="592">
        <v>0.35878171988136709</v>
      </c>
      <c r="K12" s="318"/>
      <c r="L12" s="352"/>
    </row>
    <row r="13" spans="1:12" ht="7.9" customHeight="1" x14ac:dyDescent="0.15">
      <c r="A13" s="485" t="s">
        <v>692</v>
      </c>
      <c r="B13" s="472" t="s">
        <v>239</v>
      </c>
      <c r="C13" s="472" t="s">
        <v>239</v>
      </c>
      <c r="D13" s="472" t="s">
        <v>239</v>
      </c>
      <c r="E13" s="472" t="s">
        <v>239</v>
      </c>
      <c r="F13" s="472" t="s">
        <v>239</v>
      </c>
      <c r="G13" s="623">
        <v>0.61199431304123042</v>
      </c>
      <c r="H13" s="472" t="s">
        <v>239</v>
      </c>
      <c r="I13" s="349"/>
      <c r="K13" s="318"/>
      <c r="L13" s="352"/>
    </row>
    <row r="14" spans="1:12" ht="7.9" customHeight="1" x14ac:dyDescent="0.15">
      <c r="A14" s="483" t="s">
        <v>470</v>
      </c>
      <c r="B14" s="472" t="s">
        <v>239</v>
      </c>
      <c r="C14" s="472" t="s">
        <v>239</v>
      </c>
      <c r="D14" s="472" t="s">
        <v>239</v>
      </c>
      <c r="E14" s="472" t="s">
        <v>239</v>
      </c>
      <c r="F14" s="472" t="s">
        <v>239</v>
      </c>
      <c r="G14" s="623">
        <v>0.3948643410852713</v>
      </c>
      <c r="H14" s="472" t="s">
        <v>239</v>
      </c>
      <c r="I14" s="349"/>
      <c r="J14" s="99"/>
      <c r="K14" s="494"/>
      <c r="L14" s="352"/>
    </row>
    <row r="15" spans="1:12" ht="7.9" customHeight="1" x14ac:dyDescent="0.15">
      <c r="A15" s="315"/>
      <c r="B15" s="372"/>
      <c r="C15" s="370"/>
      <c r="D15" s="370"/>
      <c r="E15" s="370"/>
      <c r="F15" s="370"/>
      <c r="G15" s="371"/>
      <c r="H15" s="370"/>
      <c r="K15" s="318"/>
      <c r="L15" s="352"/>
    </row>
    <row r="16" spans="1:12" ht="7.9" customHeight="1" x14ac:dyDescent="0.15">
      <c r="A16" s="929" t="s">
        <v>206</v>
      </c>
      <c r="B16" s="1003"/>
      <c r="C16" s="1003"/>
      <c r="D16" s="1003"/>
      <c r="E16" s="1003"/>
      <c r="F16" s="1003"/>
      <c r="G16" s="1003"/>
      <c r="H16" s="1003"/>
      <c r="I16" s="65"/>
    </row>
    <row r="17" spans="1:13" ht="7.9" customHeight="1" x14ac:dyDescent="0.15">
      <c r="A17" s="929" t="s">
        <v>207</v>
      </c>
      <c r="B17" s="1000">
        <v>2.9723453099140464E-2</v>
      </c>
      <c r="C17" s="1000">
        <v>3.3320993782549067E-2</v>
      </c>
      <c r="D17" s="1001" t="s">
        <v>239</v>
      </c>
      <c r="E17" s="1000">
        <v>2.7291019068205746E-2</v>
      </c>
      <c r="F17" s="1001" t="s">
        <v>239</v>
      </c>
      <c r="G17" s="1002" t="s">
        <v>239</v>
      </c>
      <c r="H17" s="1000">
        <v>2.3940440185138297E-2</v>
      </c>
    </row>
    <row r="18" spans="1:13" ht="7.9" customHeight="1" thickBot="1" x14ac:dyDescent="0.2">
      <c r="A18" s="1008"/>
      <c r="B18" s="1009"/>
      <c r="C18" s="1009"/>
      <c r="D18" s="1009"/>
      <c r="E18" s="1009"/>
      <c r="F18" s="1009"/>
      <c r="G18" s="1009"/>
      <c r="H18" s="1009"/>
      <c r="K18" s="318"/>
      <c r="L18" s="352"/>
    </row>
    <row r="19" spans="1:13" ht="7.9" customHeight="1" thickTop="1" x14ac:dyDescent="0.15">
      <c r="A19" s="55" t="s">
        <v>161</v>
      </c>
      <c r="B19" s="313"/>
      <c r="C19" s="313"/>
      <c r="D19" s="313"/>
      <c r="E19" s="313"/>
      <c r="F19" s="313"/>
      <c r="G19" s="314"/>
      <c r="H19" s="313"/>
      <c r="K19" s="318"/>
      <c r="L19" s="352"/>
    </row>
    <row r="20" spans="1:13" ht="7.9" customHeight="1" x14ac:dyDescent="0.15">
      <c r="A20" s="55" t="s">
        <v>164</v>
      </c>
      <c r="B20" s="315"/>
      <c r="C20" s="159"/>
      <c r="D20" s="159"/>
      <c r="E20" s="159"/>
      <c r="F20" s="159"/>
      <c r="G20" s="196"/>
      <c r="H20" s="159"/>
      <c r="K20" s="318"/>
      <c r="L20" s="352"/>
    </row>
    <row r="21" spans="1:13" s="21" customFormat="1" ht="7.9" customHeight="1" x14ac:dyDescent="0.15">
      <c r="A21" s="39" t="s">
        <v>501</v>
      </c>
      <c r="H21" s="27"/>
      <c r="I21" s="247"/>
      <c r="J21" s="13"/>
      <c r="K21" s="354"/>
      <c r="L21" s="355"/>
      <c r="M21" s="13"/>
    </row>
    <row r="22" spans="1:13" ht="7.9" customHeight="1" x14ac:dyDescent="0.15">
      <c r="A22" s="53" t="s">
        <v>768</v>
      </c>
    </row>
    <row r="23" spans="1:13" s="65" customFormat="1" ht="11.45" customHeight="1" x14ac:dyDescent="0.25">
      <c r="A23" s="356"/>
      <c r="B23" s="357"/>
      <c r="I23" s="173"/>
    </row>
    <row r="24" spans="1:13" s="65" customFormat="1" ht="7.9" customHeight="1" x14ac:dyDescent="0.15">
      <c r="A24" s="66"/>
      <c r="I24" s="173"/>
    </row>
    <row r="25" spans="1:13" ht="7.9" customHeight="1" x14ac:dyDescent="0.15">
      <c r="A25" s="65"/>
      <c r="B25" s="65"/>
      <c r="C25" s="65"/>
      <c r="D25" s="65"/>
      <c r="E25" s="65"/>
      <c r="F25" s="65"/>
      <c r="G25" s="65"/>
      <c r="H25" s="65"/>
    </row>
    <row r="26" spans="1:13" ht="7.9" customHeight="1" x14ac:dyDescent="0.15">
      <c r="A26" s="65"/>
      <c r="B26" s="65"/>
      <c r="C26" s="65"/>
      <c r="D26" s="65"/>
      <c r="E26" s="65"/>
      <c r="F26" s="65"/>
      <c r="G26" s="65"/>
      <c r="H26" s="65"/>
    </row>
    <row r="27" spans="1:13" ht="7.9" customHeight="1" x14ac:dyDescent="0.15">
      <c r="A27" s="65"/>
      <c r="B27" s="65"/>
      <c r="C27" s="65"/>
      <c r="D27" s="65"/>
      <c r="E27" s="65"/>
      <c r="F27" s="65"/>
      <c r="G27" s="65"/>
      <c r="H27" s="65"/>
    </row>
    <row r="28" spans="1:13" ht="7.9" customHeight="1" x14ac:dyDescent="0.15">
      <c r="A28" s="65"/>
      <c r="B28" s="65"/>
      <c r="C28" s="65"/>
      <c r="D28" s="65"/>
      <c r="E28" s="65"/>
      <c r="F28" s="65"/>
      <c r="G28" s="65"/>
      <c r="H28" s="65"/>
    </row>
    <row r="29" spans="1:13" ht="8.4499999999999993" customHeight="1" x14ac:dyDescent="0.15">
      <c r="A29" s="66"/>
      <c r="B29" s="65"/>
      <c r="C29" s="65"/>
      <c r="D29" s="65"/>
      <c r="E29" s="65"/>
      <c r="F29" s="65"/>
      <c r="G29" s="65"/>
      <c r="H29" s="66"/>
    </row>
    <row r="30" spans="1:13" ht="8.4499999999999993" customHeight="1" x14ac:dyDescent="0.15">
      <c r="A30" s="65"/>
      <c r="B30" s="65"/>
      <c r="C30" s="65"/>
      <c r="D30" s="65"/>
      <c r="E30" s="65"/>
      <c r="F30" s="65"/>
      <c r="G30" s="65"/>
      <c r="H30" s="65"/>
    </row>
    <row r="31" spans="1:13" ht="8.4499999999999993" customHeight="1" x14ac:dyDescent="0.15">
      <c r="A31" s="65"/>
      <c r="B31" s="65"/>
      <c r="C31" s="65"/>
      <c r="D31" s="65"/>
      <c r="E31" s="65"/>
      <c r="F31" s="65"/>
      <c r="G31" s="65"/>
      <c r="H31" s="65"/>
    </row>
    <row r="32" spans="1:13" ht="8.4499999999999993" customHeight="1" x14ac:dyDescent="0.15">
      <c r="A32" s="65"/>
      <c r="B32" s="65"/>
      <c r="C32" s="65"/>
      <c r="D32" s="65"/>
      <c r="E32" s="65"/>
      <c r="F32" s="65"/>
      <c r="G32" s="65"/>
      <c r="H32" s="65"/>
    </row>
    <row r="33" spans="1:8" ht="9.9499999999999993" customHeight="1" x14ac:dyDescent="0.15">
      <c r="A33" s="65"/>
      <c r="B33" s="65"/>
      <c r="C33" s="65"/>
      <c r="D33" s="65"/>
      <c r="E33" s="65"/>
      <c r="F33" s="65"/>
      <c r="G33" s="65"/>
      <c r="H33" s="66"/>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dimension ref="A1:L24"/>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5703125" style="54" customWidth="1"/>
    <col min="9" max="9" width="6.28515625" style="241" customWidth="1"/>
    <col min="10" max="16384" width="11.42578125" style="53"/>
  </cols>
  <sheetData>
    <row r="1" spans="1:12" ht="15.6" customHeight="1" x14ac:dyDescent="0.15">
      <c r="A1" s="1043" t="s">
        <v>165</v>
      </c>
      <c r="B1" s="1043"/>
      <c r="C1" s="1043"/>
      <c r="D1" s="1043"/>
      <c r="E1" s="1043"/>
      <c r="F1" s="1043"/>
      <c r="G1" s="1043"/>
      <c r="H1" s="1043"/>
    </row>
    <row r="2" spans="1:12" ht="9.9499999999999993" customHeight="1" x14ac:dyDescent="0.15">
      <c r="A2" s="1021" t="s">
        <v>703</v>
      </c>
      <c r="B2" s="1021"/>
      <c r="C2" s="1021"/>
      <c r="D2" s="1021"/>
      <c r="E2" s="1021"/>
      <c r="F2" s="1021"/>
      <c r="G2" s="1021"/>
      <c r="H2" s="1021"/>
    </row>
    <row r="3" spans="1:12" s="65" customFormat="1" ht="7.9" customHeight="1" x14ac:dyDescent="0.15">
      <c r="A3" s="329"/>
      <c r="B3" s="329"/>
      <c r="C3" s="329"/>
      <c r="D3" s="329"/>
      <c r="E3" s="329"/>
      <c r="F3" s="329"/>
      <c r="G3" s="329"/>
      <c r="H3" s="329"/>
      <c r="I3" s="173"/>
    </row>
    <row r="4" spans="1:12" ht="20.100000000000001" customHeight="1" x14ac:dyDescent="0.15">
      <c r="A4" s="86"/>
      <c r="B4" s="22" t="s">
        <v>374</v>
      </c>
      <c r="C4" s="22" t="s">
        <v>384</v>
      </c>
      <c r="D4" s="22" t="s">
        <v>376</v>
      </c>
      <c r="E4" s="22" t="s">
        <v>377</v>
      </c>
      <c r="F4" s="22" t="s">
        <v>378</v>
      </c>
      <c r="G4" s="23" t="s">
        <v>385</v>
      </c>
      <c r="H4" s="88" t="s">
        <v>380</v>
      </c>
    </row>
    <row r="5" spans="1:12" ht="7.9" customHeight="1" x14ac:dyDescent="0.15">
      <c r="A5" s="86"/>
      <c r="B5" s="22"/>
      <c r="C5" s="22"/>
      <c r="D5" s="22"/>
      <c r="E5" s="22"/>
      <c r="F5" s="22"/>
      <c r="G5" s="23"/>
      <c r="H5" s="88"/>
    </row>
    <row r="6" spans="1:12" ht="9.9499999999999993" customHeight="1" x14ac:dyDescent="0.15">
      <c r="A6" s="929" t="s">
        <v>208</v>
      </c>
      <c r="B6" s="1004">
        <v>7.3131342986887143E-2</v>
      </c>
      <c r="C6" s="1004">
        <v>9.4770413307999402E-2</v>
      </c>
      <c r="D6" s="1004">
        <v>7.3819967944192613E-2</v>
      </c>
      <c r="E6" s="1004">
        <v>6.6571063371450995E-2</v>
      </c>
      <c r="F6" s="1004">
        <v>8.1302659732667218E-2</v>
      </c>
      <c r="G6" s="1004">
        <v>7.7940809639976044E-2</v>
      </c>
      <c r="H6" s="1004">
        <v>5.8627054481509823E-2</v>
      </c>
    </row>
    <row r="7" spans="1:12" ht="7.9" customHeight="1" x14ac:dyDescent="0.15">
      <c r="A7" s="315" t="s">
        <v>152</v>
      </c>
      <c r="B7" s="723" t="s">
        <v>239</v>
      </c>
      <c r="C7" s="501" t="s">
        <v>239</v>
      </c>
      <c r="D7" s="501" t="s">
        <v>239</v>
      </c>
      <c r="E7" s="501">
        <v>2.2467688678335332E-2</v>
      </c>
      <c r="F7" s="501" t="s">
        <v>239</v>
      </c>
      <c r="G7" s="507">
        <v>8.0778171175653214E-3</v>
      </c>
      <c r="H7" s="502">
        <v>1.3203457354308404E-2</v>
      </c>
      <c r="L7" s="316"/>
    </row>
    <row r="8" spans="1:12" ht="7.9" customHeight="1" x14ac:dyDescent="0.15">
      <c r="A8" s="315" t="s">
        <v>153</v>
      </c>
      <c r="B8" s="501" t="s">
        <v>239</v>
      </c>
      <c r="C8" s="727" t="s">
        <v>239</v>
      </c>
      <c r="D8" s="501" t="s">
        <v>239</v>
      </c>
      <c r="E8" s="501">
        <v>1.461183629228744E-3</v>
      </c>
      <c r="F8" s="501" t="s">
        <v>239</v>
      </c>
      <c r="G8" s="780" t="s">
        <v>939</v>
      </c>
      <c r="H8" s="501">
        <v>5.5151235966957059E-4</v>
      </c>
      <c r="K8" s="315"/>
      <c r="L8" s="316"/>
    </row>
    <row r="9" spans="1:12" ht="7.9" customHeight="1" x14ac:dyDescent="0.15">
      <c r="A9" s="315" t="s">
        <v>203</v>
      </c>
      <c r="B9" s="502">
        <v>6.4058494948262754E-3</v>
      </c>
      <c r="C9" s="502">
        <v>5.9812802848109355E-3</v>
      </c>
      <c r="D9" s="502">
        <v>5.9003053592066599E-3</v>
      </c>
      <c r="E9" s="502">
        <v>4.0111106396036808E-3</v>
      </c>
      <c r="F9" s="502">
        <v>9.5680438162083336E-3</v>
      </c>
      <c r="G9" s="507">
        <v>6.51361486787797E-3</v>
      </c>
      <c r="H9" s="502">
        <v>4.3989286532841992E-3</v>
      </c>
      <c r="K9" s="315"/>
      <c r="L9" s="316"/>
    </row>
    <row r="10" spans="1:12" ht="7.9" customHeight="1" x14ac:dyDescent="0.15">
      <c r="A10" s="315" t="s">
        <v>204</v>
      </c>
      <c r="B10" s="723"/>
      <c r="C10" s="723"/>
      <c r="D10" s="723"/>
      <c r="E10" s="723"/>
      <c r="F10" s="723"/>
      <c r="G10" s="724"/>
      <c r="H10" s="723"/>
      <c r="I10" s="53"/>
      <c r="K10" s="315"/>
      <c r="L10" s="316"/>
    </row>
    <row r="11" spans="1:12" ht="7.9" customHeight="1" x14ac:dyDescent="0.15">
      <c r="A11" s="733" t="s">
        <v>693</v>
      </c>
      <c r="B11" s="502">
        <v>0.20358073208310432</v>
      </c>
      <c r="C11" s="502">
        <v>0.24983598494906456</v>
      </c>
      <c r="D11" s="502">
        <v>0.20913812532241713</v>
      </c>
      <c r="E11" s="502">
        <v>0.1807590632112579</v>
      </c>
      <c r="F11" s="502">
        <v>0.24473083630737211</v>
      </c>
      <c r="G11" s="507">
        <v>0.21683409696431136</v>
      </c>
      <c r="H11" s="502">
        <v>0.15686175652900688</v>
      </c>
      <c r="K11" s="315"/>
      <c r="L11" s="316"/>
    </row>
    <row r="12" spans="1:12" s="86" customFormat="1" ht="7.9" customHeight="1" x14ac:dyDescent="0.15">
      <c r="A12" s="483" t="s">
        <v>154</v>
      </c>
      <c r="B12" s="504">
        <v>0.30487091337821998</v>
      </c>
      <c r="C12" s="504">
        <v>0.3789214374752905</v>
      </c>
      <c r="D12" s="504">
        <v>0.365673497603825</v>
      </c>
      <c r="E12" s="504">
        <v>0.19355311023582347</v>
      </c>
      <c r="F12" s="504">
        <v>0.48190680325429508</v>
      </c>
      <c r="G12" s="508">
        <v>0.33486820531258404</v>
      </c>
      <c r="H12" s="504">
        <v>0.16952243137997983</v>
      </c>
      <c r="I12" s="242"/>
      <c r="K12" s="505"/>
      <c r="L12" s="506"/>
    </row>
    <row r="13" spans="1:12" s="86" customFormat="1" ht="7.9" customHeight="1" x14ac:dyDescent="0.15">
      <c r="A13" s="483" t="s">
        <v>155</v>
      </c>
      <c r="B13" s="504">
        <v>8.2031471648147378E-2</v>
      </c>
      <c r="C13" s="504">
        <v>7.7522671070574437E-2</v>
      </c>
      <c r="D13" s="504">
        <v>3.9731379042151245E-2</v>
      </c>
      <c r="E13" s="504">
        <v>0.10600153250157818</v>
      </c>
      <c r="F13" s="504">
        <v>7.5829114493398186E-2</v>
      </c>
      <c r="G13" s="508">
        <v>8.0641647061804933E-2</v>
      </c>
      <c r="H13" s="504">
        <v>9.1109406972981782E-2</v>
      </c>
      <c r="I13" s="242"/>
      <c r="K13" s="505"/>
      <c r="L13" s="506"/>
    </row>
    <row r="14" spans="1:12" s="86" customFormat="1" ht="7.9" customHeight="1" x14ac:dyDescent="0.15">
      <c r="A14" s="483" t="s">
        <v>156</v>
      </c>
      <c r="B14" s="504">
        <v>0.60542505775985456</v>
      </c>
      <c r="C14" s="504">
        <v>0.63193610384247223</v>
      </c>
      <c r="D14" s="504">
        <v>0.48669390711399985</v>
      </c>
      <c r="E14" s="504">
        <v>0.53032755457638414</v>
      </c>
      <c r="F14" s="504">
        <v>0.48281957269093373</v>
      </c>
      <c r="G14" s="508">
        <v>0.56977271938047558</v>
      </c>
      <c r="H14" s="504">
        <v>0.54266750102110406</v>
      </c>
      <c r="I14" s="242"/>
      <c r="K14" s="505"/>
      <c r="L14" s="506"/>
    </row>
    <row r="15" spans="1:12" ht="7.9" customHeight="1" x14ac:dyDescent="0.15">
      <c r="A15" s="315" t="s">
        <v>502</v>
      </c>
      <c r="B15" s="587">
        <v>0.39950225420115149</v>
      </c>
      <c r="C15" s="588" t="s">
        <v>239</v>
      </c>
      <c r="D15" s="726" t="s">
        <v>239</v>
      </c>
      <c r="E15" s="588">
        <v>0.37608555099929103</v>
      </c>
      <c r="F15" s="588">
        <v>0.33601327993851282</v>
      </c>
      <c r="G15" s="589">
        <v>0.38046878148289731</v>
      </c>
      <c r="H15" s="587">
        <v>0.33373193811273638</v>
      </c>
      <c r="K15" s="315"/>
      <c r="L15" s="316"/>
    </row>
    <row r="16" spans="1:12" s="86" customFormat="1" ht="7.9" customHeight="1" x14ac:dyDescent="0.15">
      <c r="A16" s="485" t="s">
        <v>714</v>
      </c>
      <c r="B16" s="725" t="s">
        <v>239</v>
      </c>
      <c r="C16" s="334" t="s">
        <v>239</v>
      </c>
      <c r="D16" s="334" t="s">
        <v>239</v>
      </c>
      <c r="E16" s="334">
        <v>0.55530358704909877</v>
      </c>
      <c r="F16" s="334" t="s">
        <v>239</v>
      </c>
      <c r="G16" s="591">
        <v>0.54649270577405362</v>
      </c>
      <c r="H16" s="590">
        <v>0.40032691503100598</v>
      </c>
      <c r="I16" s="242"/>
      <c r="K16" s="505"/>
      <c r="L16" s="506"/>
    </row>
    <row r="17" spans="1:12" s="86" customFormat="1" ht="7.9" customHeight="1" x14ac:dyDescent="0.15">
      <c r="A17" s="483" t="s">
        <v>715</v>
      </c>
      <c r="B17" s="334" t="s">
        <v>239</v>
      </c>
      <c r="C17" s="334" t="s">
        <v>239</v>
      </c>
      <c r="D17" s="334" t="s">
        <v>239</v>
      </c>
      <c r="E17" s="334">
        <v>0.40577589600699976</v>
      </c>
      <c r="F17" s="334" t="s">
        <v>239</v>
      </c>
      <c r="G17" s="386">
        <v>0.36634765699609334</v>
      </c>
      <c r="H17" s="334">
        <v>0.27755862175713092</v>
      </c>
      <c r="I17" s="322"/>
      <c r="J17" s="99"/>
      <c r="K17" s="494"/>
      <c r="L17" s="506"/>
    </row>
    <row r="18" spans="1:12" ht="7.9" customHeight="1" x14ac:dyDescent="0.15">
      <c r="A18" s="503" t="s">
        <v>469</v>
      </c>
      <c r="B18" s="502">
        <v>2.5098427352812269E-2</v>
      </c>
      <c r="C18" s="502">
        <v>4.1268498811427773E-2</v>
      </c>
      <c r="D18" s="502">
        <v>4.6350818903146261E-2</v>
      </c>
      <c r="E18" s="502">
        <v>2.3428958804985477E-2</v>
      </c>
      <c r="F18" s="502">
        <v>5.7885244436352297E-2</v>
      </c>
      <c r="G18" s="507">
        <v>3.2790959554227846E-2</v>
      </c>
      <c r="H18" s="502">
        <v>1.8355578520923125E-2</v>
      </c>
      <c r="K18" s="315"/>
      <c r="L18" s="316"/>
    </row>
    <row r="19" spans="1:12" ht="7.9" customHeight="1" thickBot="1" x14ac:dyDescent="0.2">
      <c r="A19" s="1008"/>
      <c r="B19" s="1009"/>
      <c r="C19" s="1009"/>
      <c r="D19" s="1009"/>
      <c r="E19" s="1009"/>
      <c r="F19" s="1009"/>
      <c r="G19" s="1009"/>
      <c r="H19" s="1009"/>
      <c r="K19" s="315"/>
      <c r="L19" s="316"/>
    </row>
    <row r="20" spans="1:12" ht="7.9" customHeight="1" thickTop="1" x14ac:dyDescent="0.15">
      <c r="A20" s="55" t="s">
        <v>161</v>
      </c>
      <c r="B20" s="503"/>
      <c r="C20" s="159"/>
      <c r="D20" s="159"/>
      <c r="E20" s="159"/>
      <c r="F20" s="159"/>
      <c r="G20" s="196"/>
      <c r="H20" s="159"/>
      <c r="K20" s="315"/>
      <c r="L20" s="316"/>
    </row>
    <row r="21" spans="1:12" ht="7.9" customHeight="1" x14ac:dyDescent="0.15">
      <c r="A21" s="55" t="s">
        <v>166</v>
      </c>
    </row>
    <row r="22" spans="1:12" ht="7.9" customHeight="1" x14ac:dyDescent="0.15">
      <c r="A22" s="39" t="s">
        <v>503</v>
      </c>
    </row>
    <row r="23" spans="1:12" ht="9.9499999999999993" customHeight="1" x14ac:dyDescent="0.15">
      <c r="A23" s="53" t="s">
        <v>768</v>
      </c>
    </row>
    <row r="24" spans="1:12" ht="9.9499999999999993" customHeight="1" x14ac:dyDescent="0.15">
      <c r="A24" s="53" t="s">
        <v>940</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dimension ref="A1:A21"/>
  <sheetViews>
    <sheetView workbookViewId="0"/>
  </sheetViews>
  <sheetFormatPr baseColWidth="10" defaultRowHeight="15" x14ac:dyDescent="0.25"/>
  <cols>
    <col min="1" max="1" width="94" customWidth="1"/>
  </cols>
  <sheetData>
    <row r="1" spans="1:1" x14ac:dyDescent="0.25">
      <c r="A1" s="910" t="s">
        <v>572</v>
      </c>
    </row>
    <row r="3" spans="1:1" x14ac:dyDescent="0.25">
      <c r="A3" s="644" t="s">
        <v>573</v>
      </c>
    </row>
    <row r="4" spans="1:1" x14ac:dyDescent="0.25">
      <c r="A4" s="645"/>
    </row>
    <row r="5" spans="1:1" x14ac:dyDescent="0.25">
      <c r="A5" s="645"/>
    </row>
    <row r="6" spans="1:1" x14ac:dyDescent="0.25">
      <c r="A6" s="647" t="s">
        <v>574</v>
      </c>
    </row>
    <row r="7" spans="1:1" x14ac:dyDescent="0.25">
      <c r="A7" s="646" t="s">
        <v>575</v>
      </c>
    </row>
    <row r="8" spans="1:1" x14ac:dyDescent="0.25">
      <c r="A8" s="878" t="s">
        <v>576</v>
      </c>
    </row>
    <row r="9" spans="1:1" x14ac:dyDescent="0.25">
      <c r="A9" s="644"/>
    </row>
    <row r="10" spans="1:1" x14ac:dyDescent="0.25">
      <c r="A10" s="644"/>
    </row>
    <row r="11" spans="1:1" x14ac:dyDescent="0.25">
      <c r="A11" s="648" t="s">
        <v>577</v>
      </c>
    </row>
    <row r="12" spans="1:1" x14ac:dyDescent="0.25">
      <c r="A12" s="644" t="s">
        <v>579</v>
      </c>
    </row>
    <row r="13" spans="1:1" x14ac:dyDescent="0.25">
      <c r="A13" s="644" t="s">
        <v>580</v>
      </c>
    </row>
    <row r="14" spans="1:1" x14ac:dyDescent="0.25">
      <c r="A14" s="878" t="s">
        <v>578</v>
      </c>
    </row>
    <row r="15" spans="1:1" x14ac:dyDescent="0.25">
      <c r="A15" s="644"/>
    </row>
    <row r="16" spans="1:1" ht="15.75" thickBot="1" x14ac:dyDescent="0.3">
      <c r="A16" s="644"/>
    </row>
    <row r="17" spans="1:1" ht="15.75" thickTop="1" x14ac:dyDescent="0.25">
      <c r="A17" s="1005" t="s">
        <v>730</v>
      </c>
    </row>
    <row r="18" spans="1:1" x14ac:dyDescent="0.25">
      <c r="A18" s="1006" t="s">
        <v>731</v>
      </c>
    </row>
    <row r="19" spans="1:1" x14ac:dyDescent="0.25">
      <c r="A19" s="1006" t="s">
        <v>732</v>
      </c>
    </row>
    <row r="20" spans="1:1" ht="15.75" thickBot="1" x14ac:dyDescent="0.3">
      <c r="A20" s="1007" t="s">
        <v>941</v>
      </c>
    </row>
    <row r="21" spans="1:1" ht="15.75" thickTop="1" x14ac:dyDescent="0.25"/>
  </sheetData>
  <phoneticPr fontId="15" type="noConversion"/>
  <hyperlinks>
    <hyperlink ref="A8" r:id="rId1"/>
    <hyperlink ref="A14" r:id="rId2"/>
    <hyperlink ref="A20" r:id="rId3"/>
  </hyperlinks>
  <pageMargins left="0.78740157499999996" right="0.78740157499999996" top="0.984251969" bottom="0.984251969" header="0.4921259845" footer="0.4921259845"/>
  <pageSetup paperSize="9" orientation="portrait" r:id="rId4"/>
  <headerFooter alignWithMargins="0"/>
  <drawing r:id="rId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dimension ref="A1:C40"/>
  <sheetViews>
    <sheetView zoomScale="140" zoomScaleNormal="140" workbookViewId="0">
      <selection sqref="A1:B1"/>
    </sheetView>
  </sheetViews>
  <sheetFormatPr baseColWidth="10" defaultRowHeight="15" x14ac:dyDescent="0.25"/>
  <cols>
    <col min="1" max="1" width="11.42578125" style="206" customWidth="1"/>
    <col min="2" max="2" width="110.42578125" style="206" customWidth="1"/>
    <col min="3" max="16384" width="11.42578125" style="206"/>
  </cols>
  <sheetData>
    <row r="1" spans="1:3" ht="15" customHeight="1" x14ac:dyDescent="0.25">
      <c r="A1" s="1019" t="s">
        <v>79</v>
      </c>
      <c r="B1" s="1019"/>
    </row>
    <row r="2" spans="1:3" x14ac:dyDescent="0.25">
      <c r="C2" s="207"/>
    </row>
    <row r="3" spans="1:3" ht="12" customHeight="1" x14ac:dyDescent="0.25">
      <c r="A3" s="358" t="s">
        <v>720</v>
      </c>
      <c r="B3" s="359" t="s">
        <v>724</v>
      </c>
      <c r="C3" s="207"/>
    </row>
    <row r="4" spans="1:3" ht="12" customHeight="1" x14ac:dyDescent="0.25">
      <c r="A4" s="358" t="s">
        <v>718</v>
      </c>
      <c r="B4" s="359" t="s">
        <v>725</v>
      </c>
      <c r="C4" s="207"/>
    </row>
    <row r="5" spans="1:3" ht="12" customHeight="1" x14ac:dyDescent="0.25">
      <c r="A5" s="358" t="s">
        <v>466</v>
      </c>
      <c r="B5" s="359" t="s">
        <v>467</v>
      </c>
      <c r="C5" s="207"/>
    </row>
    <row r="6" spans="1:3" ht="12" customHeight="1" x14ac:dyDescent="0.25">
      <c r="A6" s="358" t="s">
        <v>483</v>
      </c>
      <c r="B6" s="359" t="s">
        <v>484</v>
      </c>
      <c r="C6" s="207"/>
    </row>
    <row r="7" spans="1:3" ht="12" customHeight="1" x14ac:dyDescent="0.25">
      <c r="A7" s="358" t="s">
        <v>716</v>
      </c>
      <c r="B7" s="359" t="s">
        <v>726</v>
      </c>
      <c r="C7" s="207"/>
    </row>
    <row r="8" spans="1:3" ht="12" customHeight="1" x14ac:dyDescent="0.25">
      <c r="A8" s="358" t="s">
        <v>496</v>
      </c>
      <c r="B8" s="359" t="s">
        <v>499</v>
      </c>
      <c r="C8" s="207"/>
    </row>
    <row r="9" spans="1:3" ht="12" customHeight="1" x14ac:dyDescent="0.25">
      <c r="A9" s="358" t="s">
        <v>487</v>
      </c>
      <c r="B9" s="359" t="s">
        <v>488</v>
      </c>
      <c r="C9" s="207"/>
    </row>
    <row r="10" spans="1:3" ht="12" customHeight="1" x14ac:dyDescent="0.25">
      <c r="A10" s="358" t="s">
        <v>596</v>
      </c>
      <c r="B10" s="359" t="s">
        <v>24</v>
      </c>
      <c r="C10" s="207"/>
    </row>
    <row r="11" spans="1:3" ht="12" customHeight="1" x14ac:dyDescent="0.25">
      <c r="A11" s="358" t="s">
        <v>717</v>
      </c>
      <c r="B11" s="359" t="s">
        <v>727</v>
      </c>
      <c r="C11" s="207"/>
    </row>
    <row r="12" spans="1:3" ht="12" customHeight="1" x14ac:dyDescent="0.25">
      <c r="A12" s="358" t="s">
        <v>489</v>
      </c>
      <c r="B12" s="359" t="s">
        <v>490</v>
      </c>
      <c r="C12" s="207"/>
    </row>
    <row r="13" spans="1:3" ht="12" customHeight="1" x14ac:dyDescent="0.25">
      <c r="A13" s="358" t="s">
        <v>1</v>
      </c>
      <c r="B13" s="359" t="s">
        <v>958</v>
      </c>
      <c r="C13" s="207"/>
    </row>
    <row r="14" spans="1:3" ht="12" customHeight="1" x14ac:dyDescent="0.25">
      <c r="A14" s="358" t="s">
        <v>3</v>
      </c>
      <c r="B14" s="359" t="s">
        <v>959</v>
      </c>
      <c r="C14" s="207"/>
    </row>
    <row r="15" spans="1:3" ht="12" customHeight="1" x14ac:dyDescent="0.25">
      <c r="A15" s="358" t="s">
        <v>481</v>
      </c>
      <c r="B15" s="359" t="s">
        <v>482</v>
      </c>
      <c r="C15" s="207"/>
    </row>
    <row r="16" spans="1:3" ht="12" customHeight="1" x14ac:dyDescent="0.25">
      <c r="A16" s="358" t="s">
        <v>719</v>
      </c>
      <c r="B16" s="359" t="s">
        <v>728</v>
      </c>
      <c r="C16" s="207"/>
    </row>
    <row r="17" spans="1:3" ht="12" customHeight="1" x14ac:dyDescent="0.25">
      <c r="A17" s="358" t="s">
        <v>2</v>
      </c>
      <c r="B17" s="359" t="s">
        <v>283</v>
      </c>
      <c r="C17" s="207"/>
    </row>
    <row r="18" spans="1:3" ht="12" customHeight="1" x14ac:dyDescent="0.25">
      <c r="A18" s="358" t="s">
        <v>485</v>
      </c>
      <c r="B18" s="359" t="s">
        <v>486</v>
      </c>
      <c r="C18" s="207"/>
    </row>
    <row r="19" spans="1:3" ht="12" customHeight="1" x14ac:dyDescent="0.25">
      <c r="A19" s="358" t="s">
        <v>282</v>
      </c>
      <c r="B19" s="359" t="s">
        <v>284</v>
      </c>
      <c r="C19" s="207"/>
    </row>
    <row r="20" spans="1:3" ht="12.75" customHeight="1" x14ac:dyDescent="0.25">
      <c r="A20" s="358" t="s">
        <v>29</v>
      </c>
      <c r="B20" s="779" t="s">
        <v>957</v>
      </c>
      <c r="C20" s="207"/>
    </row>
    <row r="21" spans="1:3" ht="12" customHeight="1" x14ac:dyDescent="0.25">
      <c r="A21" s="358" t="s">
        <v>280</v>
      </c>
      <c r="B21" s="353" t="s">
        <v>281</v>
      </c>
      <c r="C21" s="207"/>
    </row>
    <row r="22" spans="1:3" ht="12" customHeight="1" x14ac:dyDescent="0.25">
      <c r="A22" s="358" t="s">
        <v>597</v>
      </c>
      <c r="B22" s="359" t="s">
        <v>480</v>
      </c>
      <c r="C22" s="207"/>
    </row>
    <row r="24" spans="1:3" ht="12" customHeight="1" x14ac:dyDescent="0.25">
      <c r="C24" s="207"/>
    </row>
    <row r="25" spans="1:3" ht="12" customHeight="1" x14ac:dyDescent="0.25">
      <c r="C25" s="207"/>
    </row>
    <row r="26" spans="1:3" ht="12" customHeight="1" x14ac:dyDescent="0.25">
      <c r="C26" s="207"/>
    </row>
    <row r="27" spans="1:3" ht="12" customHeight="1" x14ac:dyDescent="0.25">
      <c r="C27" s="207"/>
    </row>
    <row r="28" spans="1:3" ht="12" customHeight="1" x14ac:dyDescent="0.25">
      <c r="C28" s="207"/>
    </row>
    <row r="29" spans="1:3" ht="12" customHeight="1" x14ac:dyDescent="0.25">
      <c r="C29" s="207"/>
    </row>
    <row r="30" spans="1:3" ht="12" customHeight="1" x14ac:dyDescent="0.25">
      <c r="C30" s="207"/>
    </row>
    <row r="31" spans="1:3" ht="12" customHeight="1" x14ac:dyDescent="0.25">
      <c r="C31" s="207"/>
    </row>
    <row r="32" spans="1:3" ht="12" customHeight="1" x14ac:dyDescent="0.25">
      <c r="C32" s="207"/>
    </row>
    <row r="33" s="210" customFormat="1" ht="20.100000000000001" customHeight="1" x14ac:dyDescent="0.25"/>
    <row r="34" ht="20.100000000000001"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sheetData>
  <mergeCells count="1">
    <mergeCell ref="A1:B1"/>
  </mergeCells>
  <phoneticPr fontId="15" type="noConversion"/>
  <pageMargins left="0.59055118110236215" right="0.59055118110236215"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L38"/>
  <sheetViews>
    <sheetView zoomScale="140" zoomScaleNormal="140" workbookViewId="0">
      <selection sqref="A1:H1"/>
    </sheetView>
  </sheetViews>
  <sheetFormatPr baseColWidth="10" defaultRowHeight="9.9499999999999993" customHeight="1" x14ac:dyDescent="0.25"/>
  <cols>
    <col min="1" max="1" width="24.5703125" style="16" customWidth="1"/>
    <col min="2" max="6" width="6.7109375" style="16" customWidth="1"/>
    <col min="7" max="7" width="7.5703125" style="16" customWidth="1"/>
    <col min="8" max="8" width="9.5703125" style="16" bestFit="1" customWidth="1"/>
    <col min="9" max="9" width="11.42578125" style="238" customWidth="1"/>
    <col min="10" max="10" width="16.28515625" style="238" customWidth="1"/>
    <col min="11" max="11" width="11.42578125" style="238" customWidth="1"/>
    <col min="12" max="16384" width="11.42578125" style="16"/>
  </cols>
  <sheetData>
    <row r="1" spans="1:12" ht="15" customHeight="1" x14ac:dyDescent="0.25">
      <c r="A1" s="1019" t="s">
        <v>167</v>
      </c>
      <c r="B1" s="1019"/>
      <c r="C1" s="1019"/>
      <c r="D1" s="1019"/>
      <c r="E1" s="1019"/>
      <c r="F1" s="1019"/>
      <c r="G1" s="1019"/>
      <c r="H1" s="1019"/>
      <c r="J1" s="274"/>
      <c r="K1" s="274"/>
    </row>
    <row r="2" spans="1:12" ht="9.9499999999999993" customHeight="1" x14ac:dyDescent="0.25">
      <c r="A2" s="108"/>
      <c r="B2" s="32"/>
      <c r="C2" s="32"/>
      <c r="D2" s="32"/>
      <c r="E2" s="32"/>
      <c r="F2" s="32"/>
      <c r="G2" s="32"/>
      <c r="H2" s="32"/>
      <c r="I2" s="325"/>
      <c r="J2" s="274"/>
      <c r="K2" s="274"/>
      <c r="L2" s="156"/>
    </row>
    <row r="3" spans="1:12" ht="20.100000000000001" customHeight="1" x14ac:dyDescent="0.25">
      <c r="A3" s="32"/>
      <c r="B3" s="22" t="s">
        <v>383</v>
      </c>
      <c r="C3" s="22" t="s">
        <v>384</v>
      </c>
      <c r="D3" s="59" t="s">
        <v>376</v>
      </c>
      <c r="E3" s="59" t="s">
        <v>377</v>
      </c>
      <c r="F3" s="59" t="s">
        <v>378</v>
      </c>
      <c r="G3" s="23" t="s">
        <v>385</v>
      </c>
      <c r="H3" s="22" t="s">
        <v>380</v>
      </c>
      <c r="I3" s="325"/>
      <c r="J3" s="274"/>
      <c r="K3" s="274"/>
    </row>
    <row r="4" spans="1:12" ht="7.9" customHeight="1" x14ac:dyDescent="0.25">
      <c r="A4" s="32"/>
      <c r="B4" s="24"/>
      <c r="C4" s="24"/>
      <c r="D4" s="24"/>
      <c r="E4" s="24"/>
      <c r="F4" s="24"/>
      <c r="G4" s="232"/>
      <c r="H4" s="24"/>
      <c r="I4" s="325"/>
    </row>
    <row r="5" spans="1:12" ht="7.9" customHeight="1" x14ac:dyDescent="0.25">
      <c r="A5" s="918" t="s">
        <v>995</v>
      </c>
      <c r="B5" s="918"/>
      <c r="C5" s="918"/>
      <c r="D5" s="918"/>
      <c r="E5" s="918"/>
      <c r="F5" s="918"/>
      <c r="G5" s="918"/>
      <c r="H5" s="918"/>
      <c r="I5" s="325"/>
    </row>
    <row r="6" spans="1:12" ht="7.9" customHeight="1" x14ac:dyDescent="0.25">
      <c r="A6" s="32" t="s">
        <v>386</v>
      </c>
      <c r="B6" s="25">
        <v>6815.38</v>
      </c>
      <c r="C6" s="25">
        <v>7165.6</v>
      </c>
      <c r="D6" s="25">
        <v>5175.21</v>
      </c>
      <c r="E6" s="25">
        <v>6205.99</v>
      </c>
      <c r="F6" s="25">
        <v>6719.59</v>
      </c>
      <c r="G6" s="26">
        <f>SUM(B6:F6)</f>
        <v>32081.77</v>
      </c>
      <c r="H6" s="25">
        <v>543962.83000000007</v>
      </c>
    </row>
    <row r="7" spans="1:12" ht="7.9" customHeight="1" x14ac:dyDescent="0.25">
      <c r="A7" s="32" t="s">
        <v>772</v>
      </c>
      <c r="B7" s="25">
        <v>212</v>
      </c>
      <c r="C7" s="25">
        <v>250</v>
      </c>
      <c r="D7" s="25">
        <v>258</v>
      </c>
      <c r="E7" s="25">
        <v>368</v>
      </c>
      <c r="F7" s="25">
        <v>269</v>
      </c>
      <c r="G7" s="26">
        <f>SUM(B7:F7)</f>
        <v>1357</v>
      </c>
      <c r="H7" s="25">
        <v>35756</v>
      </c>
    </row>
    <row r="8" spans="1:12" ht="7.9" customHeight="1" x14ac:dyDescent="0.25">
      <c r="A8" s="233" t="s">
        <v>773</v>
      </c>
      <c r="B8" s="29">
        <f t="shared" ref="B8:H8" si="0">B15/B6</f>
        <v>197.13324862296747</v>
      </c>
      <c r="C8" s="29">
        <f t="shared" si="0"/>
        <v>112.31578653567043</v>
      </c>
      <c r="D8" s="29">
        <f t="shared" si="0"/>
        <v>59.471982779442769</v>
      </c>
      <c r="E8" s="29">
        <f t="shared" si="0"/>
        <v>91.92602630684226</v>
      </c>
      <c r="F8" s="29">
        <f t="shared" si="0"/>
        <v>98.485324253414262</v>
      </c>
      <c r="G8" s="741">
        <f t="shared" si="0"/>
        <v>114.96875016559248</v>
      </c>
      <c r="H8" s="29">
        <f t="shared" si="0"/>
        <v>117.62215076349976</v>
      </c>
    </row>
    <row r="9" spans="1:12" ht="7.9" customHeight="1" x14ac:dyDescent="0.25">
      <c r="A9" s="233" t="s">
        <v>509</v>
      </c>
      <c r="B9" s="29">
        <v>1083181</v>
      </c>
      <c r="C9" s="29">
        <v>522631</v>
      </c>
      <c r="D9" s="29">
        <v>148299</v>
      </c>
      <c r="E9" s="29">
        <v>358750.99999999994</v>
      </c>
      <c r="F9" s="29">
        <v>389703.00000000012</v>
      </c>
      <c r="G9" s="741">
        <v>2502565</v>
      </c>
      <c r="H9" s="29">
        <v>49046616.002521187</v>
      </c>
    </row>
    <row r="10" spans="1:12" ht="7.9" customHeight="1" x14ac:dyDescent="0.25">
      <c r="A10" s="233" t="s">
        <v>601</v>
      </c>
      <c r="B10" s="29"/>
      <c r="C10" s="29"/>
      <c r="D10" s="29"/>
      <c r="E10" s="29"/>
      <c r="F10" s="29"/>
      <c r="G10" s="741"/>
      <c r="H10" s="29"/>
    </row>
    <row r="11" spans="1:12" ht="7.9" customHeight="1" x14ac:dyDescent="0.25">
      <c r="A11" s="233" t="s">
        <v>747</v>
      </c>
      <c r="B11" s="890">
        <v>0.89705709683731105</v>
      </c>
      <c r="C11" s="890">
        <v>0.77635464532843601</v>
      </c>
      <c r="D11" s="890">
        <v>0.55029593495935103</v>
      </c>
      <c r="E11" s="890">
        <v>0.80407004841530305</v>
      </c>
      <c r="F11" s="890">
        <v>0.49746607963924</v>
      </c>
      <c r="G11" s="891">
        <v>0.755543245124354</v>
      </c>
      <c r="H11" s="890">
        <v>0.82768913841043501</v>
      </c>
    </row>
    <row r="12" spans="1:12" ht="7.9" customHeight="1" x14ac:dyDescent="0.25">
      <c r="A12" s="32"/>
      <c r="B12" s="25"/>
      <c r="C12" s="25"/>
      <c r="D12" s="25"/>
      <c r="E12" s="25"/>
      <c r="F12" s="25"/>
      <c r="G12" s="26"/>
      <c r="H12" s="25"/>
    </row>
    <row r="13" spans="1:12" ht="7.9" customHeight="1" x14ac:dyDescent="0.25">
      <c r="A13" s="918" t="s">
        <v>996</v>
      </c>
      <c r="B13" s="918"/>
      <c r="C13" s="918"/>
      <c r="D13" s="918"/>
      <c r="E13" s="918"/>
      <c r="F13" s="918"/>
      <c r="G13" s="918"/>
      <c r="H13" s="918"/>
    </row>
    <row r="14" spans="1:12" ht="7.9" customHeight="1" x14ac:dyDescent="0.25">
      <c r="A14" s="32" t="s">
        <v>997</v>
      </c>
      <c r="B14" s="742">
        <v>1328620</v>
      </c>
      <c r="C14" s="742">
        <v>800191</v>
      </c>
      <c r="D14" s="742">
        <v>307500</v>
      </c>
      <c r="E14" s="742">
        <v>569035</v>
      </c>
      <c r="F14" s="742">
        <v>655506</v>
      </c>
      <c r="G14" s="26">
        <f>SUM(B14:F14)</f>
        <v>3660852</v>
      </c>
      <c r="H14" s="394">
        <v>63697865</v>
      </c>
    </row>
    <row r="15" spans="1:12" ht="7.9" customHeight="1" x14ac:dyDescent="0.25">
      <c r="A15" s="61" t="s">
        <v>998</v>
      </c>
      <c r="B15" s="399">
        <v>1343538</v>
      </c>
      <c r="C15" s="399">
        <v>804810</v>
      </c>
      <c r="D15" s="399">
        <v>307780</v>
      </c>
      <c r="E15" s="399">
        <v>570492</v>
      </c>
      <c r="F15" s="399">
        <v>661781</v>
      </c>
      <c r="G15" s="424">
        <f>SUM(B15:F15)</f>
        <v>3688401</v>
      </c>
      <c r="H15" s="402">
        <v>63982078</v>
      </c>
      <c r="K15" s="273"/>
    </row>
    <row r="16" spans="1:12" ht="7.9" customHeight="1" x14ac:dyDescent="0.25">
      <c r="A16" s="18" t="s">
        <v>999</v>
      </c>
      <c r="B16" s="89">
        <v>1683000</v>
      </c>
      <c r="C16" s="89">
        <v>948000</v>
      </c>
      <c r="D16" s="89">
        <v>333000</v>
      </c>
      <c r="E16" s="89">
        <v>599000</v>
      </c>
      <c r="F16" s="89">
        <v>770000</v>
      </c>
      <c r="G16" s="26">
        <f>SUM(B16:F16)</f>
        <v>4333000</v>
      </c>
      <c r="H16" s="76">
        <v>70143000</v>
      </c>
    </row>
    <row r="17" spans="1:11" ht="7.9" customHeight="1" x14ac:dyDescent="0.25">
      <c r="A17" s="233"/>
      <c r="B17" s="28"/>
      <c r="C17" s="28"/>
      <c r="D17" s="28"/>
      <c r="E17" s="28"/>
      <c r="F17" s="28"/>
      <c r="G17" s="743"/>
      <c r="H17" s="28"/>
      <c r="K17" s="273"/>
    </row>
    <row r="18" spans="1:11" s="156" customFormat="1" ht="7.9" customHeight="1" x14ac:dyDescent="0.25">
      <c r="A18" s="918" t="s">
        <v>1000</v>
      </c>
      <c r="B18" s="918"/>
      <c r="C18" s="918"/>
      <c r="D18" s="918"/>
      <c r="E18" s="918"/>
      <c r="F18" s="918"/>
      <c r="G18" s="918"/>
      <c r="H18" s="918"/>
      <c r="I18" s="273"/>
      <c r="J18" s="273"/>
      <c r="K18" s="273"/>
    </row>
    <row r="19" spans="1:11" ht="7.9" customHeight="1" x14ac:dyDescent="0.25">
      <c r="A19" s="18" t="s">
        <v>1001</v>
      </c>
      <c r="B19" s="892">
        <v>16700</v>
      </c>
      <c r="C19" s="892">
        <v>9781</v>
      </c>
      <c r="D19" s="892">
        <v>3456</v>
      </c>
      <c r="E19" s="892">
        <v>6664</v>
      </c>
      <c r="F19" s="892">
        <v>7070</v>
      </c>
      <c r="G19" s="424">
        <f>SUM(B19:F19)</f>
        <v>43671</v>
      </c>
      <c r="H19" s="402">
        <v>779279</v>
      </c>
    </row>
    <row r="20" spans="1:11" s="114" customFormat="1" ht="7.9" customHeight="1" x14ac:dyDescent="0.25">
      <c r="A20" s="18" t="s">
        <v>1002</v>
      </c>
      <c r="B20" s="892">
        <v>10387</v>
      </c>
      <c r="C20" s="892">
        <v>6324</v>
      </c>
      <c r="D20" s="892">
        <v>2759</v>
      </c>
      <c r="E20" s="892">
        <v>5277</v>
      </c>
      <c r="F20" s="892">
        <v>6373</v>
      </c>
      <c r="G20" s="424">
        <f>SUM(B20:F20)</f>
        <v>31120</v>
      </c>
      <c r="H20" s="402">
        <v>545029</v>
      </c>
      <c r="I20" s="240"/>
      <c r="J20" s="240"/>
      <c r="K20" s="240"/>
    </row>
    <row r="21" spans="1:11" ht="7.9" customHeight="1" x14ac:dyDescent="0.25">
      <c r="A21" s="18" t="s">
        <v>774</v>
      </c>
      <c r="B21" s="624">
        <v>0.11899999999999999</v>
      </c>
      <c r="C21" s="624">
        <v>0.107</v>
      </c>
      <c r="D21" s="624">
        <v>8.8999999999999996E-2</v>
      </c>
      <c r="E21" s="624">
        <v>0.11799999999999999</v>
      </c>
      <c r="F21" s="624">
        <v>0.09</v>
      </c>
      <c r="G21" s="627">
        <v>0.109</v>
      </c>
      <c r="H21" s="286">
        <v>0.14499999999999999</v>
      </c>
    </row>
    <row r="22" spans="1:11" s="114" customFormat="1" ht="7.9" customHeight="1" x14ac:dyDescent="0.25">
      <c r="A22" s="18" t="s">
        <v>1009</v>
      </c>
      <c r="B22" s="893">
        <v>633189</v>
      </c>
      <c r="C22" s="893">
        <v>375167</v>
      </c>
      <c r="D22" s="893">
        <v>140409</v>
      </c>
      <c r="E22" s="893">
        <v>259073</v>
      </c>
      <c r="F22" s="893">
        <v>298959</v>
      </c>
      <c r="G22" s="26">
        <f>SUM(B22:F22)</f>
        <v>1706797</v>
      </c>
      <c r="H22" s="893">
        <v>29754955</v>
      </c>
      <c r="I22" s="240"/>
      <c r="J22" s="240"/>
      <c r="K22" s="240"/>
    </row>
    <row r="23" spans="1:11" s="114" customFormat="1" ht="7.9" customHeight="1" x14ac:dyDescent="0.25">
      <c r="A23" s="234" t="s">
        <v>1007</v>
      </c>
      <c r="B23" s="745">
        <v>0.74273466607665395</v>
      </c>
      <c r="C23" s="745">
        <v>0.74675698329003903</v>
      </c>
      <c r="D23" s="745">
        <v>0.75457869806749001</v>
      </c>
      <c r="E23" s="745">
        <v>0.73986069868139603</v>
      </c>
      <c r="F23" s="745">
        <v>0.75133847778154295</v>
      </c>
      <c r="G23" s="746">
        <v>0.74563254947572599</v>
      </c>
      <c r="H23" s="747">
        <v>0.73306505278990697</v>
      </c>
      <c r="I23" s="240"/>
      <c r="J23" s="240"/>
      <c r="K23" s="240"/>
    </row>
    <row r="24" spans="1:11" ht="7.9" customHeight="1" thickBot="1" x14ac:dyDescent="0.3">
      <c r="A24" s="1008"/>
      <c r="B24" s="1009"/>
      <c r="C24" s="1009"/>
      <c r="D24" s="1009"/>
      <c r="E24" s="1009"/>
      <c r="F24" s="1009"/>
      <c r="G24" s="1010"/>
      <c r="H24" s="1009"/>
      <c r="I24" s="325"/>
    </row>
    <row r="25" spans="1:11" ht="9.9499999999999993" customHeight="1" thickTop="1" x14ac:dyDescent="0.25">
      <c r="A25" s="39" t="s">
        <v>301</v>
      </c>
      <c r="B25" s="32"/>
      <c r="C25" s="32"/>
      <c r="D25" s="32"/>
      <c r="E25" s="32"/>
      <c r="F25" s="32"/>
      <c r="G25" s="32"/>
      <c r="H25" s="32"/>
    </row>
    <row r="26" spans="1:11" ht="9.9499999999999993" customHeight="1" x14ac:dyDescent="0.25">
      <c r="A26" s="39" t="s">
        <v>1003</v>
      </c>
      <c r="B26" s="32"/>
      <c r="C26" s="32"/>
      <c r="D26" s="32"/>
      <c r="E26" s="32"/>
      <c r="F26" s="32"/>
      <c r="G26" s="32"/>
      <c r="H26" s="32"/>
    </row>
    <row r="27" spans="1:11" ht="9.9499999999999993" customHeight="1" x14ac:dyDescent="0.25">
      <c r="A27" s="134" t="s">
        <v>1004</v>
      </c>
      <c r="B27" s="32"/>
      <c r="C27" s="32"/>
      <c r="D27" s="32"/>
      <c r="E27" s="32"/>
      <c r="F27" s="32"/>
      <c r="G27" s="32"/>
      <c r="H27" s="32"/>
    </row>
    <row r="28" spans="1:11" ht="9.9499999999999993" customHeight="1" x14ac:dyDescent="0.25">
      <c r="A28" s="134" t="s">
        <v>1005</v>
      </c>
      <c r="B28" s="32"/>
      <c r="C28" s="32"/>
      <c r="D28" s="32"/>
      <c r="E28" s="32"/>
      <c r="F28" s="32"/>
      <c r="G28" s="32"/>
      <c r="H28" s="32"/>
    </row>
    <row r="29" spans="1:11" ht="9.9499999999999993" customHeight="1" x14ac:dyDescent="0.25">
      <c r="A29" s="125" t="s">
        <v>1006</v>
      </c>
      <c r="B29" s="33"/>
      <c r="C29" s="33"/>
      <c r="D29" s="33"/>
      <c r="E29" s="33"/>
      <c r="F29" s="33"/>
      <c r="G29" s="33"/>
      <c r="H29" s="109"/>
    </row>
    <row r="30" spans="1:11" ht="9.9499999999999993" customHeight="1" x14ac:dyDescent="0.25">
      <c r="A30" s="125" t="s">
        <v>1008</v>
      </c>
      <c r="B30" s="32"/>
      <c r="C30" s="32"/>
      <c r="D30" s="32"/>
      <c r="E30" s="32"/>
      <c r="F30" s="32"/>
      <c r="G30" s="32"/>
      <c r="H30" s="32"/>
    </row>
    <row r="31" spans="1:11" ht="9.9499999999999993" customHeight="1" x14ac:dyDescent="0.25">
      <c r="A31" s="125"/>
    </row>
    <row r="34" spans="2:8" ht="9.9499999999999993" customHeight="1" x14ac:dyDescent="0.15">
      <c r="B34" s="391"/>
      <c r="C34" s="391"/>
      <c r="D34" s="391"/>
      <c r="E34" s="391"/>
      <c r="F34" s="391"/>
      <c r="G34" s="398"/>
      <c r="H34" s="392"/>
    </row>
    <row r="36" spans="2:8" ht="9.9499999999999993" customHeight="1" x14ac:dyDescent="0.25">
      <c r="B36" s="904"/>
      <c r="C36" s="904"/>
      <c r="D36" s="904"/>
      <c r="E36" s="904"/>
      <c r="F36" s="904"/>
      <c r="G36" s="904"/>
    </row>
    <row r="38" spans="2:8" ht="9.9499999999999993" customHeight="1" x14ac:dyDescent="0.25">
      <c r="B38" s="305"/>
      <c r="C38" s="305"/>
      <c r="D38" s="305"/>
      <c r="E38" s="305"/>
      <c r="F38" s="305"/>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dimension ref="A1:C40"/>
  <sheetViews>
    <sheetView zoomScale="140" zoomScaleNormal="140" workbookViewId="0">
      <selection sqref="A1:B1"/>
    </sheetView>
  </sheetViews>
  <sheetFormatPr baseColWidth="10" defaultRowHeight="15" x14ac:dyDescent="0.25"/>
  <cols>
    <col min="1" max="1" width="11.42578125" style="206" customWidth="1"/>
    <col min="2" max="2" width="110.42578125" style="206" customWidth="1"/>
    <col min="3" max="16384" width="11.42578125" style="206"/>
  </cols>
  <sheetData>
    <row r="1" spans="1:3" ht="15" customHeight="1" x14ac:dyDescent="0.25">
      <c r="A1" s="1019" t="s">
        <v>79</v>
      </c>
      <c r="B1" s="1019"/>
    </row>
    <row r="2" spans="1:3" x14ac:dyDescent="0.25">
      <c r="C2" s="207"/>
    </row>
    <row r="3" spans="1:3" ht="12" customHeight="1" x14ac:dyDescent="0.25">
      <c r="A3" s="358" t="s">
        <v>945</v>
      </c>
      <c r="B3" s="359" t="s">
        <v>946</v>
      </c>
      <c r="C3" s="207"/>
    </row>
    <row r="4" spans="1:3" ht="12" customHeight="1" x14ac:dyDescent="0.25">
      <c r="A4" s="358" t="s">
        <v>300</v>
      </c>
      <c r="B4" s="359" t="s">
        <v>479</v>
      </c>
      <c r="C4" s="207"/>
    </row>
    <row r="5" spans="1:3" ht="12" customHeight="1" x14ac:dyDescent="0.25">
      <c r="A5" s="358" t="s">
        <v>468</v>
      </c>
      <c r="B5" s="359" t="s">
        <v>0</v>
      </c>
      <c r="C5" s="207"/>
    </row>
    <row r="6" spans="1:3" ht="12" customHeight="1" x14ac:dyDescent="0.25">
      <c r="A6" s="358" t="s">
        <v>1026</v>
      </c>
      <c r="B6" s="359" t="s">
        <v>1027</v>
      </c>
      <c r="C6" s="207"/>
    </row>
    <row r="7" spans="1:3" ht="12" customHeight="1" x14ac:dyDescent="0.25">
      <c r="A7" s="358" t="s">
        <v>493</v>
      </c>
      <c r="B7" s="359" t="s">
        <v>944</v>
      </c>
      <c r="C7" s="207"/>
    </row>
    <row r="8" spans="1:3" ht="12" customHeight="1" x14ac:dyDescent="0.25">
      <c r="A8" s="358" t="s">
        <v>952</v>
      </c>
      <c r="B8" s="359" t="s">
        <v>953</v>
      </c>
      <c r="C8" s="207"/>
    </row>
    <row r="9" spans="1:3" ht="12" customHeight="1" x14ac:dyDescent="0.25">
      <c r="A9" s="358" t="s">
        <v>17</v>
      </c>
      <c r="B9" s="359" t="s">
        <v>19</v>
      </c>
      <c r="C9" s="207"/>
    </row>
    <row r="10" spans="1:3" s="879" customFormat="1" ht="12" customHeight="1" x14ac:dyDescent="0.25">
      <c r="A10" s="148" t="s">
        <v>942</v>
      </c>
      <c r="B10" s="101" t="s">
        <v>954</v>
      </c>
    </row>
    <row r="11" spans="1:3" ht="12" customHeight="1" x14ac:dyDescent="0.25">
      <c r="A11" s="358" t="s">
        <v>491</v>
      </c>
      <c r="B11" s="359" t="s">
        <v>492</v>
      </c>
      <c r="C11" s="207"/>
    </row>
    <row r="12" spans="1:3" ht="18" x14ac:dyDescent="0.25">
      <c r="A12" s="358" t="s">
        <v>86</v>
      </c>
      <c r="B12" s="779" t="s">
        <v>312</v>
      </c>
      <c r="C12" s="207"/>
    </row>
    <row r="13" spans="1:3" ht="18" x14ac:dyDescent="0.25">
      <c r="A13" s="358" t="s">
        <v>87</v>
      </c>
      <c r="B13" s="353" t="s">
        <v>263</v>
      </c>
      <c r="C13" s="207"/>
    </row>
    <row r="14" spans="1:3" ht="12" customHeight="1" x14ac:dyDescent="0.25">
      <c r="A14" s="358" t="s">
        <v>494</v>
      </c>
      <c r="B14" s="353" t="s">
        <v>495</v>
      </c>
      <c r="C14" s="207"/>
    </row>
    <row r="15" spans="1:3" ht="12" customHeight="1" x14ac:dyDescent="0.25">
      <c r="A15" s="358" t="s">
        <v>721</v>
      </c>
      <c r="B15" s="779" t="s">
        <v>729</v>
      </c>
      <c r="C15" s="207"/>
    </row>
    <row r="16" spans="1:3" ht="12" customHeight="1" x14ac:dyDescent="0.25">
      <c r="A16" s="358" t="s">
        <v>22</v>
      </c>
      <c r="B16" s="359" t="s">
        <v>23</v>
      </c>
      <c r="C16" s="207"/>
    </row>
    <row r="17" spans="1:3" ht="12" customHeight="1" x14ac:dyDescent="0.25">
      <c r="A17" s="358" t="s">
        <v>20</v>
      </c>
      <c r="B17" s="359" t="s">
        <v>21</v>
      </c>
      <c r="C17" s="207"/>
    </row>
    <row r="18" spans="1:3" ht="12" customHeight="1" x14ac:dyDescent="0.25">
      <c r="A18" s="358" t="s">
        <v>955</v>
      </c>
      <c r="B18" s="359" t="s">
        <v>956</v>
      </c>
      <c r="C18" s="207"/>
    </row>
    <row r="19" spans="1:3" ht="12" customHeight="1" x14ac:dyDescent="0.25">
      <c r="A19" s="358" t="s">
        <v>16</v>
      </c>
      <c r="B19" s="359" t="s">
        <v>18</v>
      </c>
      <c r="C19" s="207"/>
    </row>
    <row r="20" spans="1:3" ht="20.100000000000001" customHeight="1" x14ac:dyDescent="0.25">
      <c r="A20" s="358"/>
      <c r="B20" s="353"/>
      <c r="C20" s="207"/>
    </row>
    <row r="21" spans="1:3" ht="12" customHeight="1" x14ac:dyDescent="0.25">
      <c r="A21" s="358"/>
      <c r="B21" s="353"/>
      <c r="C21" s="207"/>
    </row>
    <row r="22" spans="1:3" ht="12" customHeight="1" x14ac:dyDescent="0.25">
      <c r="A22" s="358"/>
      <c r="B22" s="359"/>
      <c r="C22" s="207"/>
    </row>
    <row r="23" spans="1:3" ht="12" customHeight="1" x14ac:dyDescent="0.25">
      <c r="A23" s="358"/>
      <c r="B23" s="359"/>
      <c r="C23" s="207"/>
    </row>
    <row r="24" spans="1:3" ht="12" customHeight="1" x14ac:dyDescent="0.25">
      <c r="A24" s="358"/>
      <c r="B24" s="359"/>
      <c r="C24" s="207"/>
    </row>
    <row r="25" spans="1:3" ht="12" customHeight="1" x14ac:dyDescent="0.25">
      <c r="A25" s="358"/>
      <c r="B25" s="359"/>
      <c r="C25" s="207"/>
    </row>
    <row r="26" spans="1:3" ht="12" customHeight="1" x14ac:dyDescent="0.25">
      <c r="A26" s="358"/>
      <c r="B26" s="359"/>
      <c r="C26" s="207"/>
    </row>
    <row r="27" spans="1:3" ht="12" customHeight="1" x14ac:dyDescent="0.25">
      <c r="A27" s="358"/>
      <c r="B27" s="359"/>
      <c r="C27" s="207"/>
    </row>
    <row r="28" spans="1:3" ht="12" customHeight="1" x14ac:dyDescent="0.25">
      <c r="A28" s="358"/>
      <c r="B28" s="359"/>
      <c r="C28" s="207"/>
    </row>
    <row r="29" spans="1:3" ht="12" customHeight="1" x14ac:dyDescent="0.25">
      <c r="A29" s="358"/>
      <c r="B29" s="359"/>
      <c r="C29" s="207"/>
    </row>
    <row r="30" spans="1:3" ht="12" customHeight="1" x14ac:dyDescent="0.25">
      <c r="A30" s="358"/>
      <c r="B30" s="359"/>
      <c r="C30" s="207"/>
    </row>
    <row r="31" spans="1:3" ht="12" customHeight="1" x14ac:dyDescent="0.25">
      <c r="A31" s="358"/>
      <c r="B31" s="359"/>
      <c r="C31" s="207"/>
    </row>
    <row r="32" spans="1:3" ht="12" customHeight="1" x14ac:dyDescent="0.25">
      <c r="A32" s="358"/>
      <c r="B32" s="359"/>
      <c r="C32" s="207"/>
    </row>
    <row r="33" spans="1:2" s="210" customFormat="1" ht="20.100000000000001" customHeight="1" x14ac:dyDescent="0.25">
      <c r="A33" s="208"/>
      <c r="B33" s="209"/>
    </row>
    <row r="34" spans="1:2" ht="20.100000000000001" customHeight="1" x14ac:dyDescent="0.25">
      <c r="A34" s="358"/>
      <c r="B34" s="353"/>
    </row>
    <row r="35" spans="1:2" ht="12" customHeight="1" x14ac:dyDescent="0.25">
      <c r="A35" s="358"/>
      <c r="B35" s="359"/>
    </row>
    <row r="36" spans="1:2" ht="12" customHeight="1" x14ac:dyDescent="0.25">
      <c r="A36" s="358"/>
      <c r="B36" s="359"/>
    </row>
    <row r="37" spans="1:2" ht="12" customHeight="1" x14ac:dyDescent="0.25">
      <c r="A37" s="358"/>
      <c r="B37" s="359"/>
    </row>
    <row r="38" spans="1:2" ht="12" customHeight="1" x14ac:dyDescent="0.25">
      <c r="A38" s="358"/>
      <c r="B38" s="359"/>
    </row>
    <row r="39" spans="1:2" ht="12" customHeight="1" x14ac:dyDescent="0.25">
      <c r="A39" s="358"/>
      <c r="B39" s="359"/>
    </row>
    <row r="40" spans="1:2" ht="12" customHeight="1" x14ac:dyDescent="0.25">
      <c r="A40" s="358"/>
      <c r="B40" s="359"/>
    </row>
  </sheetData>
  <mergeCells count="1">
    <mergeCell ref="A1:B1"/>
  </mergeCells>
  <phoneticPr fontId="15" type="noConversion"/>
  <pageMargins left="0.59055118110236215" right="0.59055118110236215" top="0.78740157480314965" bottom="0.78740157480314965" header="0.31496062992125984" footer="0.31496062992125984"/>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dimension ref="A1:A26"/>
  <sheetViews>
    <sheetView zoomScale="140" zoomScaleNormal="140" workbookViewId="0"/>
  </sheetViews>
  <sheetFormatPr baseColWidth="10" defaultRowHeight="12" customHeight="1" x14ac:dyDescent="0.25"/>
  <cols>
    <col min="1" max="1" width="94" style="16" customWidth="1"/>
  </cols>
  <sheetData>
    <row r="1" spans="1:1" ht="15" customHeight="1" x14ac:dyDescent="0.25">
      <c r="A1" s="910" t="s">
        <v>47</v>
      </c>
    </row>
    <row r="3" spans="1:1" ht="12" customHeight="1" x14ac:dyDescent="0.25">
      <c r="A3" s="360" t="s">
        <v>763</v>
      </c>
    </row>
    <row r="4" spans="1:1" ht="12" customHeight="1" x14ac:dyDescent="0.25">
      <c r="A4" s="361" t="s">
        <v>334</v>
      </c>
    </row>
    <row r="5" spans="1:1" ht="12" customHeight="1" x14ac:dyDescent="0.25">
      <c r="A5" s="361" t="s">
        <v>960</v>
      </c>
    </row>
    <row r="6" spans="1:1" ht="12" customHeight="1" x14ac:dyDescent="0.25">
      <c r="A6" s="362" t="s">
        <v>335</v>
      </c>
    </row>
    <row r="8" spans="1:1" ht="12" customHeight="1" x14ac:dyDescent="0.25">
      <c r="A8" s="360" t="s">
        <v>213</v>
      </c>
    </row>
    <row r="9" spans="1:1" ht="12" customHeight="1" x14ac:dyDescent="0.25">
      <c r="A9" s="361" t="s">
        <v>336</v>
      </c>
    </row>
    <row r="10" spans="1:1" ht="12" customHeight="1" x14ac:dyDescent="0.25">
      <c r="A10" s="361" t="s">
        <v>264</v>
      </c>
    </row>
    <row r="11" spans="1:1" ht="12" customHeight="1" x14ac:dyDescent="0.25">
      <c r="A11" s="362" t="s">
        <v>337</v>
      </c>
    </row>
    <row r="13" spans="1:1" ht="12" customHeight="1" x14ac:dyDescent="0.25">
      <c r="A13" s="360" t="s">
        <v>216</v>
      </c>
    </row>
    <row r="14" spans="1:1" ht="12" customHeight="1" x14ac:dyDescent="0.25">
      <c r="A14" s="361" t="s">
        <v>339</v>
      </c>
    </row>
    <row r="15" spans="1:1" ht="12" customHeight="1" x14ac:dyDescent="0.25">
      <c r="A15" s="361" t="s">
        <v>265</v>
      </c>
    </row>
    <row r="16" spans="1:1" ht="12" customHeight="1" x14ac:dyDescent="0.25">
      <c r="A16" s="362" t="s">
        <v>338</v>
      </c>
    </row>
    <row r="18" spans="1:1" ht="12" customHeight="1" x14ac:dyDescent="0.25">
      <c r="A18" s="360" t="s">
        <v>217</v>
      </c>
    </row>
    <row r="19" spans="1:1" ht="12" customHeight="1" x14ac:dyDescent="0.25">
      <c r="A19" s="361" t="s">
        <v>599</v>
      </c>
    </row>
    <row r="20" spans="1:1" ht="12" customHeight="1" x14ac:dyDescent="0.25">
      <c r="A20" s="361" t="s">
        <v>600</v>
      </c>
    </row>
    <row r="21" spans="1:1" ht="12" customHeight="1" x14ac:dyDescent="0.25">
      <c r="A21" s="362" t="s">
        <v>340</v>
      </c>
    </row>
    <row r="23" spans="1:1" ht="12" customHeight="1" x14ac:dyDescent="0.25">
      <c r="A23" s="360" t="s">
        <v>218</v>
      </c>
    </row>
    <row r="24" spans="1:1" ht="12" customHeight="1" x14ac:dyDescent="0.25">
      <c r="A24" s="361" t="s">
        <v>341</v>
      </c>
    </row>
    <row r="25" spans="1:1" ht="12" customHeight="1" x14ac:dyDescent="0.25">
      <c r="A25" s="361" t="s">
        <v>266</v>
      </c>
    </row>
    <row r="26" spans="1:1" ht="12" customHeight="1" x14ac:dyDescent="0.25">
      <c r="A26" s="362" t="s">
        <v>342</v>
      </c>
    </row>
  </sheetData>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dimension ref="M14"/>
  <sheetViews>
    <sheetView workbookViewId="0">
      <selection activeCell="R32" sqref="R32"/>
    </sheetView>
  </sheetViews>
  <sheetFormatPr baseColWidth="10" defaultRowHeight="15" x14ac:dyDescent="0.25"/>
  <sheetData>
    <row r="14" spans="13:13" ht="18.75" x14ac:dyDescent="0.3">
      <c r="M14" s="375"/>
    </row>
  </sheetData>
  <phoneticPr fontId="15" type="noConversion"/>
  <pageMargins left="0.59055118110236215" right="0.59055118110236215"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K29"/>
  <sheetViews>
    <sheetView zoomScale="140" zoomScaleNormal="140" workbookViewId="0">
      <selection sqref="A1:H1"/>
    </sheetView>
  </sheetViews>
  <sheetFormatPr baseColWidth="10" defaultRowHeight="9.9499999999999993" customHeight="1" x14ac:dyDescent="0.25"/>
  <cols>
    <col min="1" max="1" width="29.5703125" style="16" customWidth="1"/>
    <col min="2" max="6" width="6.7109375" style="16" customWidth="1"/>
    <col min="7" max="7" width="6.85546875" style="16" customWidth="1"/>
    <col min="8" max="8" width="10.28515625" style="16" customWidth="1"/>
    <col min="9" max="9" width="13" style="238" customWidth="1"/>
    <col min="10" max="10" width="16.28515625" style="238" customWidth="1"/>
    <col min="11" max="11" width="11.42578125" style="238" customWidth="1"/>
    <col min="12" max="16384" width="11.42578125" style="16"/>
  </cols>
  <sheetData>
    <row r="1" spans="1:11" ht="15" customHeight="1" x14ac:dyDescent="0.25">
      <c r="A1" s="1020" t="s">
        <v>127</v>
      </c>
      <c r="B1" s="1020"/>
      <c r="C1" s="1020"/>
      <c r="D1" s="1020"/>
      <c r="E1" s="1020"/>
      <c r="F1" s="1020"/>
      <c r="G1" s="1020"/>
      <c r="H1" s="1020"/>
    </row>
    <row r="2" spans="1:11" ht="9.9499999999999993" customHeight="1" x14ac:dyDescent="0.25">
      <c r="A2" s="34"/>
      <c r="B2" s="35"/>
      <c r="C2" s="35"/>
      <c r="D2" s="35"/>
      <c r="E2" s="35"/>
      <c r="F2" s="35"/>
      <c r="G2" s="35"/>
      <c r="H2" s="36"/>
    </row>
    <row r="3" spans="1:11" ht="20.100000000000001" customHeight="1" x14ac:dyDescent="0.25">
      <c r="A3" s="39"/>
      <c r="B3" s="37" t="s">
        <v>374</v>
      </c>
      <c r="C3" s="37" t="s">
        <v>387</v>
      </c>
      <c r="D3" s="37" t="s">
        <v>376</v>
      </c>
      <c r="E3" s="37" t="s">
        <v>377</v>
      </c>
      <c r="F3" s="37" t="s">
        <v>378</v>
      </c>
      <c r="G3" s="38" t="s">
        <v>385</v>
      </c>
      <c r="H3" s="22" t="s">
        <v>380</v>
      </c>
    </row>
    <row r="4" spans="1:11" ht="7.9" customHeight="1" x14ac:dyDescent="0.25">
      <c r="A4" s="18"/>
      <c r="B4" s="894"/>
      <c r="C4" s="894"/>
      <c r="D4" s="894"/>
      <c r="E4" s="894"/>
      <c r="F4" s="894"/>
      <c r="G4" s="895"/>
      <c r="H4" s="895"/>
    </row>
    <row r="5" spans="1:11" ht="7.9" customHeight="1" x14ac:dyDescent="0.25">
      <c r="A5" s="919" t="s">
        <v>389</v>
      </c>
      <c r="B5" s="920"/>
      <c r="C5" s="920"/>
      <c r="D5" s="920"/>
      <c r="E5" s="920"/>
      <c r="F5" s="920"/>
      <c r="G5" s="920"/>
      <c r="H5" s="921" t="s">
        <v>390</v>
      </c>
    </row>
    <row r="6" spans="1:11" ht="7.9" customHeight="1" x14ac:dyDescent="0.25">
      <c r="A6" s="32" t="s">
        <v>775</v>
      </c>
      <c r="B6" s="748">
        <v>12.429868005222033</v>
      </c>
      <c r="C6" s="748">
        <v>12.153179011195189</v>
      </c>
      <c r="D6" s="748">
        <v>11.228799792059263</v>
      </c>
      <c r="E6" s="748">
        <v>11.681145397306185</v>
      </c>
      <c r="F6" s="748">
        <v>10.683292509153329</v>
      </c>
      <c r="G6" s="636">
        <v>11.840090055284119</v>
      </c>
      <c r="H6" s="748">
        <v>12.179645056229653</v>
      </c>
      <c r="I6" s="240"/>
    </row>
    <row r="7" spans="1:11" ht="7.9" customHeight="1" x14ac:dyDescent="0.25">
      <c r="A7" s="32" t="s">
        <v>776</v>
      </c>
      <c r="B7" s="749">
        <v>7.7</v>
      </c>
      <c r="C7" s="749">
        <v>7.8</v>
      </c>
      <c r="D7" s="749">
        <v>9</v>
      </c>
      <c r="E7" s="749">
        <v>9.1999999999999993</v>
      </c>
      <c r="F7" s="749">
        <v>9.6</v>
      </c>
      <c r="G7" s="744">
        <v>8.4</v>
      </c>
      <c r="H7" s="596">
        <v>8.5</v>
      </c>
      <c r="I7" s="240"/>
    </row>
    <row r="8" spans="1:11" ht="7.9" customHeight="1" x14ac:dyDescent="0.25">
      <c r="A8" s="231" t="s">
        <v>777</v>
      </c>
      <c r="B8" s="750">
        <v>3</v>
      </c>
      <c r="C8" s="750">
        <v>3</v>
      </c>
      <c r="D8" s="750">
        <v>2.7</v>
      </c>
      <c r="E8" s="750">
        <v>2.9</v>
      </c>
      <c r="F8" s="750">
        <v>2.7</v>
      </c>
      <c r="G8" s="744">
        <v>2.9</v>
      </c>
      <c r="H8" s="596">
        <v>3.4</v>
      </c>
      <c r="I8" s="240"/>
    </row>
    <row r="9" spans="1:11" ht="7.9" customHeight="1" x14ac:dyDescent="0.25">
      <c r="A9" s="62" t="s">
        <v>779</v>
      </c>
      <c r="B9" s="728">
        <f>'page 5 Démo'!B19/'page 7 Démo'!B26*1000</f>
        <v>55.200407226956308</v>
      </c>
      <c r="C9" s="728">
        <f>'page 5 Démo'!C19/'page 7 Démo'!C26*1000</f>
        <v>56.188101748661502</v>
      </c>
      <c r="D9" s="728">
        <f>'page 5 Démo'!D19/'page 7 Démo'!D26*1000</f>
        <v>56.703145252588229</v>
      </c>
      <c r="E9" s="728">
        <f>'page 5 Démo'!E19/'page 7 Démo'!E26*1000</f>
        <v>56.634400469120486</v>
      </c>
      <c r="F9" s="728">
        <f>'page 5 Démo'!F19/'page 7 Démo'!F26*1000</f>
        <v>54.520076806218533</v>
      </c>
      <c r="G9" s="729">
        <f>'page 5 Démo'!G19/'page 7 Démo'!G26*1000</f>
        <v>55.63872223701528</v>
      </c>
      <c r="H9" s="728">
        <f>'page 5 Démo'!H19/'page 7 Démo'!H26*1000</f>
        <v>55.330443405967763</v>
      </c>
      <c r="I9" s="240"/>
      <c r="J9" s="598"/>
    </row>
    <row r="10" spans="1:11" s="897" customFormat="1" ht="7.9" customHeight="1" x14ac:dyDescent="0.25">
      <c r="A10" s="64" t="s">
        <v>780</v>
      </c>
      <c r="B10" s="896">
        <v>2</v>
      </c>
      <c r="C10" s="896">
        <v>2.0499999999999998</v>
      </c>
      <c r="D10" s="896">
        <v>2.14</v>
      </c>
      <c r="E10" s="896">
        <v>2.13</v>
      </c>
      <c r="F10" s="896">
        <v>2.06</v>
      </c>
      <c r="G10" s="896">
        <v>2.04</v>
      </c>
      <c r="H10" s="898">
        <v>1.98</v>
      </c>
      <c r="I10" s="240"/>
      <c r="J10" s="240"/>
      <c r="K10" s="240"/>
    </row>
    <row r="11" spans="1:11" ht="7.9" customHeight="1" x14ac:dyDescent="0.25">
      <c r="A11" s="62"/>
      <c r="B11" s="752"/>
      <c r="C11" s="752"/>
      <c r="D11" s="752"/>
      <c r="E11" s="752"/>
      <c r="F11" s="752"/>
      <c r="G11" s="751"/>
      <c r="H11" s="753"/>
      <c r="I11" s="240"/>
    </row>
    <row r="12" spans="1:11" ht="7.9" customHeight="1" x14ac:dyDescent="0.25">
      <c r="A12" s="919" t="s">
        <v>781</v>
      </c>
      <c r="B12" s="920"/>
      <c r="C12" s="920"/>
      <c r="D12" s="920"/>
      <c r="E12" s="920"/>
      <c r="F12" s="920"/>
      <c r="G12" s="920"/>
      <c r="H12" s="921" t="s">
        <v>593</v>
      </c>
      <c r="I12" s="240"/>
    </row>
    <row r="13" spans="1:11" ht="7.9" customHeight="1" x14ac:dyDescent="0.25">
      <c r="A13" s="32" t="s">
        <v>404</v>
      </c>
      <c r="B13" s="748">
        <v>79.3</v>
      </c>
      <c r="C13" s="748">
        <v>80.5</v>
      </c>
      <c r="D13" s="748">
        <v>80.400000000000006</v>
      </c>
      <c r="E13" s="748">
        <v>79</v>
      </c>
      <c r="F13" s="748">
        <v>78.7</v>
      </c>
      <c r="G13" s="597">
        <v>79.5</v>
      </c>
      <c r="H13" s="748">
        <v>79.3</v>
      </c>
      <c r="I13" s="240"/>
    </row>
    <row r="14" spans="1:11" ht="7.9" customHeight="1" x14ac:dyDescent="0.25">
      <c r="A14" s="32" t="s">
        <v>405</v>
      </c>
      <c r="B14" s="748">
        <v>85.7</v>
      </c>
      <c r="C14" s="748">
        <v>86.5</v>
      </c>
      <c r="D14" s="748">
        <v>86.3</v>
      </c>
      <c r="E14" s="748">
        <v>85.7</v>
      </c>
      <c r="F14" s="748">
        <v>85.5</v>
      </c>
      <c r="G14" s="597">
        <v>85.9</v>
      </c>
      <c r="H14" s="748">
        <v>85.4</v>
      </c>
      <c r="I14" s="240"/>
    </row>
    <row r="15" spans="1:11" ht="7.9" customHeight="1" x14ac:dyDescent="0.25">
      <c r="A15" s="32" t="s">
        <v>634</v>
      </c>
      <c r="B15" s="748">
        <v>19.3</v>
      </c>
      <c r="C15" s="748">
        <v>20</v>
      </c>
      <c r="D15" s="748">
        <v>20</v>
      </c>
      <c r="E15" s="748">
        <v>19.399999999999999</v>
      </c>
      <c r="F15" s="748">
        <v>19.399999999999999</v>
      </c>
      <c r="G15" s="597">
        <v>19.5</v>
      </c>
      <c r="H15" s="748">
        <v>19.3</v>
      </c>
      <c r="I15" s="240"/>
      <c r="J15" s="626"/>
    </row>
    <row r="16" spans="1:11" ht="7.9" customHeight="1" x14ac:dyDescent="0.25">
      <c r="A16" s="32" t="s">
        <v>635</v>
      </c>
      <c r="B16" s="748">
        <v>23.3</v>
      </c>
      <c r="C16" s="748">
        <v>23.8</v>
      </c>
      <c r="D16" s="748">
        <v>24</v>
      </c>
      <c r="E16" s="748">
        <v>23.4</v>
      </c>
      <c r="F16" s="748">
        <v>23.5</v>
      </c>
      <c r="G16" s="597">
        <v>23.5</v>
      </c>
      <c r="H16" s="748">
        <v>23.3</v>
      </c>
      <c r="I16" s="240"/>
      <c r="J16" s="626"/>
    </row>
    <row r="17" spans="1:11" ht="7.9" customHeight="1" x14ac:dyDescent="0.25">
      <c r="A17" s="134" t="s">
        <v>782</v>
      </c>
      <c r="B17" s="899">
        <v>66.300717484196596</v>
      </c>
      <c r="C17" s="899">
        <v>69.339649188631498</v>
      </c>
      <c r="D17" s="899">
        <v>79.157122065430599</v>
      </c>
      <c r="E17" s="899">
        <v>79.684490826038896</v>
      </c>
      <c r="F17" s="899">
        <v>90.886731795624101</v>
      </c>
      <c r="G17" s="899">
        <v>74.242931015745427</v>
      </c>
      <c r="H17" s="900">
        <v>76.400000000000006</v>
      </c>
      <c r="I17" s="240"/>
      <c r="J17" s="626"/>
    </row>
    <row r="18" spans="1:11" ht="7.9" customHeight="1" x14ac:dyDescent="0.25">
      <c r="A18" s="62"/>
      <c r="B18" s="752"/>
      <c r="C18" s="752"/>
      <c r="D18" s="752"/>
      <c r="E18" s="752"/>
      <c r="F18" s="752"/>
      <c r="G18" s="753"/>
      <c r="H18" s="753"/>
      <c r="I18" s="240"/>
    </row>
    <row r="19" spans="1:11" ht="7.9" customHeight="1" x14ac:dyDescent="0.25">
      <c r="A19" s="919" t="s">
        <v>783</v>
      </c>
      <c r="B19" s="920"/>
      <c r="C19" s="920"/>
      <c r="D19" s="920"/>
      <c r="E19" s="920"/>
      <c r="F19" s="920"/>
      <c r="G19" s="920"/>
      <c r="H19" s="921" t="s">
        <v>594</v>
      </c>
      <c r="I19" s="240"/>
    </row>
    <row r="20" spans="1:11" ht="7.9" customHeight="1" x14ac:dyDescent="0.25">
      <c r="A20" s="754" t="s">
        <v>436</v>
      </c>
      <c r="B20" s="752">
        <f>B22-B21</f>
        <v>0.3</v>
      </c>
      <c r="C20" s="752">
        <f t="shared" ref="C20:H20" si="0">C22-C21</f>
        <v>0.39999999999999997</v>
      </c>
      <c r="D20" s="752">
        <f t="shared" si="0"/>
        <v>0</v>
      </c>
      <c r="E20" s="752">
        <f t="shared" si="0"/>
        <v>0</v>
      </c>
      <c r="F20" s="752">
        <f t="shared" si="0"/>
        <v>0.4</v>
      </c>
      <c r="G20" s="753">
        <f t="shared" si="0"/>
        <v>0.4</v>
      </c>
      <c r="H20" s="752">
        <f t="shared" si="0"/>
        <v>0.4</v>
      </c>
      <c r="I20" s="240"/>
      <c r="J20" s="240"/>
    </row>
    <row r="21" spans="1:11" ht="7.9" customHeight="1" x14ac:dyDescent="0.25">
      <c r="A21" s="754" t="s">
        <v>437</v>
      </c>
      <c r="B21" s="752">
        <v>0</v>
      </c>
      <c r="C21" s="752">
        <v>0.2</v>
      </c>
      <c r="D21" s="752">
        <v>0.1</v>
      </c>
      <c r="E21" s="752">
        <v>-0.2</v>
      </c>
      <c r="F21" s="752">
        <v>-0.3</v>
      </c>
      <c r="G21" s="753">
        <v>0.4</v>
      </c>
      <c r="H21" s="752">
        <v>0.1</v>
      </c>
      <c r="I21" s="240"/>
    </row>
    <row r="22" spans="1:11" ht="7.9" customHeight="1" x14ac:dyDescent="0.25">
      <c r="A22" s="901" t="s">
        <v>381</v>
      </c>
      <c r="B22" s="902">
        <v>0.3</v>
      </c>
      <c r="C22" s="902">
        <v>0.6</v>
      </c>
      <c r="D22" s="902">
        <v>0.1</v>
      </c>
      <c r="E22" s="902">
        <v>-0.2</v>
      </c>
      <c r="F22" s="902">
        <v>0.1</v>
      </c>
      <c r="G22" s="902">
        <v>0.8</v>
      </c>
      <c r="H22" s="902">
        <v>0.5</v>
      </c>
      <c r="I22" s="240"/>
    </row>
    <row r="23" spans="1:11" ht="7.9" customHeight="1" thickBot="1" x14ac:dyDescent="0.3">
      <c r="A23" s="1008"/>
      <c r="B23" s="1009"/>
      <c r="C23" s="1009"/>
      <c r="D23" s="1009"/>
      <c r="E23" s="1009"/>
      <c r="F23" s="1009"/>
      <c r="G23" s="1010"/>
      <c r="H23" s="1009"/>
    </row>
    <row r="24" spans="1:11" s="116" customFormat="1" ht="7.9" customHeight="1" thickTop="1" x14ac:dyDescent="0.25">
      <c r="A24" s="42" t="s">
        <v>301</v>
      </c>
      <c r="B24" s="40"/>
      <c r="C24" s="45"/>
      <c r="D24" s="41"/>
      <c r="E24" s="41"/>
      <c r="F24" s="40"/>
      <c r="G24" s="41"/>
      <c r="H24" s="41"/>
      <c r="I24" s="239"/>
      <c r="J24" s="239"/>
      <c r="K24" s="239"/>
    </row>
    <row r="25" spans="1:11" ht="7.9" customHeight="1" x14ac:dyDescent="0.25">
      <c r="A25" s="39" t="s">
        <v>778</v>
      </c>
      <c r="B25" s="41"/>
      <c r="C25" s="45"/>
      <c r="D25" s="41"/>
      <c r="E25" s="41"/>
      <c r="F25" s="40"/>
      <c r="G25" s="41"/>
      <c r="H25" s="41"/>
    </row>
    <row r="26" spans="1:11" ht="7.9" customHeight="1" x14ac:dyDescent="0.25">
      <c r="A26" s="39" t="s">
        <v>506</v>
      </c>
      <c r="B26" s="41"/>
      <c r="C26" s="45"/>
      <c r="D26" s="41"/>
      <c r="E26" s="41"/>
      <c r="F26" s="40"/>
      <c r="G26" s="41"/>
      <c r="H26" s="41"/>
    </row>
    <row r="27" spans="1:11" ht="7.9" customHeight="1" x14ac:dyDescent="0.25">
      <c r="A27" s="18" t="s">
        <v>507</v>
      </c>
      <c r="B27" s="155"/>
      <c r="C27" s="155"/>
      <c r="D27" s="155"/>
      <c r="E27" s="155"/>
      <c r="F27" s="155"/>
      <c r="G27" s="155"/>
      <c r="H27" s="155"/>
    </row>
    <row r="28" spans="1:11" ht="9.9499999999999993" customHeight="1" x14ac:dyDescent="0.25">
      <c r="A28" s="39" t="s">
        <v>508</v>
      </c>
      <c r="B28" s="156"/>
      <c r="C28" s="156"/>
      <c r="D28" s="156"/>
      <c r="E28" s="156"/>
      <c r="F28" s="156"/>
      <c r="G28" s="156"/>
      <c r="H28" s="156"/>
    </row>
    <row r="29" spans="1:11" ht="9.9499999999999993" customHeight="1" x14ac:dyDescent="0.25">
      <c r="B29" s="35"/>
      <c r="C29" s="35"/>
      <c r="D29" s="35"/>
      <c r="E29" s="35"/>
      <c r="F29" s="35"/>
      <c r="G29" s="35"/>
      <c r="H29" s="35"/>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K29"/>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11.42578125" style="238" customWidth="1"/>
    <col min="10" max="10" width="16.28515625" style="238" customWidth="1"/>
    <col min="11" max="11" width="11.42578125" style="238" customWidth="1"/>
    <col min="12" max="16384" width="11.42578125" style="16"/>
  </cols>
  <sheetData>
    <row r="1" spans="1:10" ht="15" customHeight="1" x14ac:dyDescent="0.25">
      <c r="A1" s="1019" t="s">
        <v>406</v>
      </c>
      <c r="B1" s="1019"/>
      <c r="C1" s="1019"/>
      <c r="D1" s="1019"/>
      <c r="E1" s="1019"/>
      <c r="F1" s="1019"/>
      <c r="G1" s="1019"/>
      <c r="H1" s="1019"/>
    </row>
    <row r="2" spans="1:10" ht="9.9499999999999993" customHeight="1" x14ac:dyDescent="0.25">
      <c r="A2" s="1021" t="s">
        <v>784</v>
      </c>
      <c r="B2" s="1021"/>
      <c r="C2" s="1021"/>
      <c r="D2" s="1021"/>
      <c r="E2" s="1021"/>
      <c r="F2" s="1021"/>
      <c r="G2" s="1021"/>
      <c r="H2" s="1021"/>
    </row>
    <row r="3" spans="1:10" ht="7.9" customHeight="1" x14ac:dyDescent="0.25">
      <c r="A3" s="111"/>
      <c r="B3" s="112"/>
      <c r="C3" s="110"/>
      <c r="D3" s="110"/>
      <c r="E3" s="110"/>
      <c r="F3" s="110"/>
      <c r="G3" s="110"/>
      <c r="H3" s="113"/>
    </row>
    <row r="4" spans="1:10" ht="20.100000000000001" customHeight="1" x14ac:dyDescent="0.25">
      <c r="A4" s="24"/>
      <c r="B4" s="47" t="s">
        <v>374</v>
      </c>
      <c r="C4" s="47" t="s">
        <v>387</v>
      </c>
      <c r="D4" s="47" t="s">
        <v>376</v>
      </c>
      <c r="E4" s="47" t="s">
        <v>377</v>
      </c>
      <c r="F4" s="47" t="s">
        <v>378</v>
      </c>
      <c r="G4" s="23" t="s">
        <v>385</v>
      </c>
      <c r="H4" s="22" t="s">
        <v>380</v>
      </c>
    </row>
    <row r="5" spans="1:10" ht="7.9" customHeight="1" x14ac:dyDescent="0.25">
      <c r="A5" s="39"/>
      <c r="B5" s="25"/>
      <c r="C5" s="25"/>
      <c r="D5" s="25"/>
      <c r="E5" s="25"/>
      <c r="F5" s="25"/>
      <c r="G5" s="50"/>
      <c r="H5" s="31"/>
      <c r="J5" s="240"/>
    </row>
    <row r="6" spans="1:10" ht="7.9" customHeight="1" x14ac:dyDescent="0.25">
      <c r="A6" s="39" t="s">
        <v>407</v>
      </c>
      <c r="B6" s="399">
        <v>85060</v>
      </c>
      <c r="C6" s="399">
        <v>51511</v>
      </c>
      <c r="D6" s="399">
        <v>19140</v>
      </c>
      <c r="E6" s="399">
        <v>34441</v>
      </c>
      <c r="F6" s="399">
        <v>38617</v>
      </c>
      <c r="G6" s="424">
        <v>228769</v>
      </c>
      <c r="H6" s="394">
        <v>3862222</v>
      </c>
      <c r="J6" s="240"/>
    </row>
    <row r="7" spans="1:10" ht="7.9" customHeight="1" x14ac:dyDescent="0.25">
      <c r="A7" s="39" t="s">
        <v>408</v>
      </c>
      <c r="B7" s="399">
        <v>88717</v>
      </c>
      <c r="C7" s="399">
        <v>54329</v>
      </c>
      <c r="D7" s="399">
        <v>20982</v>
      </c>
      <c r="E7" s="399">
        <v>36910</v>
      </c>
      <c r="F7" s="399">
        <v>42643</v>
      </c>
      <c r="G7" s="424">
        <v>243581</v>
      </c>
      <c r="H7" s="394">
        <v>3961770</v>
      </c>
      <c r="J7" s="240"/>
    </row>
    <row r="8" spans="1:10" ht="7.9" customHeight="1" x14ac:dyDescent="0.25">
      <c r="A8" s="39" t="s">
        <v>409</v>
      </c>
      <c r="B8" s="399">
        <v>88367</v>
      </c>
      <c r="C8" s="399">
        <v>54119</v>
      </c>
      <c r="D8" s="399">
        <v>21183</v>
      </c>
      <c r="E8" s="399">
        <v>37458</v>
      </c>
      <c r="F8" s="399">
        <v>42152</v>
      </c>
      <c r="G8" s="424">
        <v>243279</v>
      </c>
      <c r="H8" s="394">
        <v>3960663</v>
      </c>
      <c r="J8" s="240"/>
    </row>
    <row r="9" spans="1:10" ht="7.9" customHeight="1" x14ac:dyDescent="0.25">
      <c r="A9" s="39" t="s">
        <v>410</v>
      </c>
      <c r="B9" s="399">
        <v>85426</v>
      </c>
      <c r="C9" s="399">
        <v>52264</v>
      </c>
      <c r="D9" s="399">
        <v>17764</v>
      </c>
      <c r="E9" s="399">
        <v>34675</v>
      </c>
      <c r="F9" s="399">
        <v>34825</v>
      </c>
      <c r="G9" s="424">
        <v>224954</v>
      </c>
      <c r="H9" s="394">
        <v>3804391</v>
      </c>
      <c r="J9" s="240"/>
    </row>
    <row r="10" spans="1:10" ht="7.9" customHeight="1" x14ac:dyDescent="0.25">
      <c r="A10" s="39" t="s">
        <v>411</v>
      </c>
      <c r="B10" s="399">
        <v>81671</v>
      </c>
      <c r="C10" s="399">
        <v>48719</v>
      </c>
      <c r="D10" s="399">
        <v>14802</v>
      </c>
      <c r="E10" s="399">
        <v>29702</v>
      </c>
      <c r="F10" s="399">
        <v>28572</v>
      </c>
      <c r="G10" s="424">
        <v>203466</v>
      </c>
      <c r="H10" s="394">
        <v>3762132</v>
      </c>
    </row>
    <row r="11" spans="1:10" ht="7.9" customHeight="1" x14ac:dyDescent="0.25">
      <c r="A11" s="39" t="s">
        <v>209</v>
      </c>
      <c r="B11" s="399">
        <v>527244</v>
      </c>
      <c r="C11" s="399">
        <v>301966</v>
      </c>
      <c r="D11" s="399">
        <v>113200</v>
      </c>
      <c r="E11" s="399">
        <v>211070</v>
      </c>
      <c r="F11" s="399">
        <v>243992</v>
      </c>
      <c r="G11" s="424">
        <v>1397472</v>
      </c>
      <c r="H11" s="394">
        <v>24919999</v>
      </c>
    </row>
    <row r="12" spans="1:10" ht="7.9" customHeight="1" x14ac:dyDescent="0.25">
      <c r="A12" s="39" t="s">
        <v>412</v>
      </c>
      <c r="B12" s="399">
        <v>81642</v>
      </c>
      <c r="C12" s="399">
        <v>50189</v>
      </c>
      <c r="D12" s="399">
        <v>19908</v>
      </c>
      <c r="E12" s="399">
        <v>37280</v>
      </c>
      <c r="F12" s="399">
        <v>43258</v>
      </c>
      <c r="G12" s="424">
        <v>232277</v>
      </c>
      <c r="H12" s="394">
        <v>4087043</v>
      </c>
    </row>
    <row r="13" spans="1:10" ht="7.9" customHeight="1" x14ac:dyDescent="0.25">
      <c r="A13" s="39" t="s">
        <v>413</v>
      </c>
      <c r="B13" s="399">
        <v>80953</v>
      </c>
      <c r="C13" s="399">
        <v>48315</v>
      </c>
      <c r="D13" s="399">
        <v>19707</v>
      </c>
      <c r="E13" s="399">
        <v>37230</v>
      </c>
      <c r="F13" s="399">
        <v>47103</v>
      </c>
      <c r="G13" s="424">
        <v>233308</v>
      </c>
      <c r="H13" s="394">
        <v>3991627</v>
      </c>
    </row>
    <row r="14" spans="1:10" ht="7.9" customHeight="1" x14ac:dyDescent="0.25">
      <c r="A14" s="39" t="s">
        <v>414</v>
      </c>
      <c r="B14" s="399">
        <v>111998</v>
      </c>
      <c r="C14" s="399">
        <v>68357</v>
      </c>
      <c r="D14" s="399">
        <v>27194</v>
      </c>
      <c r="E14" s="399">
        <v>52229</v>
      </c>
      <c r="F14" s="399">
        <v>69573</v>
      </c>
      <c r="G14" s="424">
        <v>329351</v>
      </c>
      <c r="H14" s="394">
        <v>5747822</v>
      </c>
    </row>
    <row r="15" spans="1:10" ht="7.9" customHeight="1" x14ac:dyDescent="0.25">
      <c r="A15" s="39" t="s">
        <v>415</v>
      </c>
      <c r="B15" s="399">
        <v>76855</v>
      </c>
      <c r="C15" s="399">
        <v>50086</v>
      </c>
      <c r="D15" s="399">
        <v>22473</v>
      </c>
      <c r="E15" s="399">
        <v>40379</v>
      </c>
      <c r="F15" s="399">
        <v>48922</v>
      </c>
      <c r="G15" s="424">
        <v>238715</v>
      </c>
      <c r="H15" s="394">
        <v>4026219</v>
      </c>
    </row>
    <row r="16" spans="1:10" ht="7.9" customHeight="1" x14ac:dyDescent="0.25">
      <c r="A16" s="39" t="s">
        <v>416</v>
      </c>
      <c r="B16" s="399">
        <v>35605</v>
      </c>
      <c r="C16" s="399">
        <v>24955</v>
      </c>
      <c r="D16" s="399">
        <v>11427</v>
      </c>
      <c r="E16" s="399">
        <v>19118</v>
      </c>
      <c r="F16" s="399">
        <v>22124</v>
      </c>
      <c r="G16" s="424">
        <v>113229</v>
      </c>
      <c r="H16" s="394">
        <v>1858190</v>
      </c>
    </row>
    <row r="17" spans="1:11" ht="7.9" customHeight="1" x14ac:dyDescent="0.25">
      <c r="A17" s="922" t="s">
        <v>417</v>
      </c>
      <c r="B17" s="923">
        <v>1343538</v>
      </c>
      <c r="C17" s="923">
        <v>804810</v>
      </c>
      <c r="D17" s="923">
        <v>307780</v>
      </c>
      <c r="E17" s="923">
        <v>570492</v>
      </c>
      <c r="F17" s="923">
        <v>661781</v>
      </c>
      <c r="G17" s="924">
        <v>3688401</v>
      </c>
      <c r="H17" s="925">
        <v>63982078</v>
      </c>
    </row>
    <row r="18" spans="1:11" ht="7.9" customHeight="1" x14ac:dyDescent="0.25">
      <c r="A18" s="32"/>
      <c r="B18" s="25"/>
      <c r="C18" s="25"/>
      <c r="D18" s="25"/>
      <c r="E18" s="25"/>
      <c r="F18" s="25"/>
      <c r="G18" s="50"/>
      <c r="H18" s="100"/>
    </row>
    <row r="19" spans="1:11" ht="7.9" customHeight="1" x14ac:dyDescent="0.25">
      <c r="A19" s="101" t="s">
        <v>358</v>
      </c>
      <c r="B19" s="399">
        <v>102767</v>
      </c>
      <c r="C19" s="399">
        <v>62223</v>
      </c>
      <c r="D19" s="399">
        <v>23250</v>
      </c>
      <c r="E19" s="399">
        <v>41775</v>
      </c>
      <c r="F19" s="399">
        <v>47032</v>
      </c>
      <c r="G19" s="424">
        <v>277047</v>
      </c>
      <c r="H19" s="399">
        <v>4655630</v>
      </c>
    </row>
    <row r="20" spans="1:11" ht="7.9" customHeight="1" x14ac:dyDescent="0.25">
      <c r="A20" s="18" t="s">
        <v>438</v>
      </c>
      <c r="B20" s="399">
        <v>193430</v>
      </c>
      <c r="C20" s="399">
        <v>118317</v>
      </c>
      <c r="D20" s="399">
        <v>45818</v>
      </c>
      <c r="E20" s="399">
        <v>81430</v>
      </c>
      <c r="F20" s="399">
        <v>91782</v>
      </c>
      <c r="G20" s="424">
        <v>530777</v>
      </c>
      <c r="H20" s="399">
        <v>8670348</v>
      </c>
    </row>
    <row r="21" spans="1:11" ht="7.9" customHeight="1" x14ac:dyDescent="0.25">
      <c r="A21" s="18" t="s">
        <v>371</v>
      </c>
      <c r="B21" s="399">
        <v>165761</v>
      </c>
      <c r="C21" s="399">
        <v>99870</v>
      </c>
      <c r="D21" s="399">
        <v>31600</v>
      </c>
      <c r="E21" s="399">
        <v>63004</v>
      </c>
      <c r="F21" s="399">
        <v>61688</v>
      </c>
      <c r="G21" s="424">
        <v>421923</v>
      </c>
      <c r="H21" s="399">
        <v>7555877</v>
      </c>
    </row>
    <row r="22" spans="1:11" ht="7.9" customHeight="1" x14ac:dyDescent="0.25">
      <c r="A22" s="18" t="s">
        <v>210</v>
      </c>
      <c r="B22" s="399">
        <v>674101</v>
      </c>
      <c r="C22" s="399">
        <v>391225</v>
      </c>
      <c r="D22" s="399">
        <v>149739</v>
      </c>
      <c r="E22" s="399">
        <v>279651</v>
      </c>
      <c r="F22" s="399">
        <v>328294</v>
      </c>
      <c r="G22" s="424">
        <v>1823010</v>
      </c>
      <c r="H22" s="399">
        <v>32232900</v>
      </c>
    </row>
    <row r="23" spans="1:11" ht="7.9" customHeight="1" x14ac:dyDescent="0.25">
      <c r="A23" s="18" t="s">
        <v>211</v>
      </c>
      <c r="B23" s="399">
        <v>224458</v>
      </c>
      <c r="C23" s="399">
        <v>143398</v>
      </c>
      <c r="D23" s="399">
        <v>61094</v>
      </c>
      <c r="E23" s="399">
        <v>111726</v>
      </c>
      <c r="F23" s="399">
        <v>140619</v>
      </c>
      <c r="G23" s="424">
        <v>681295</v>
      </c>
      <c r="H23" s="399">
        <v>11632231</v>
      </c>
    </row>
    <row r="24" spans="1:11" ht="7.9" customHeight="1" x14ac:dyDescent="0.25">
      <c r="A24" s="101" t="s">
        <v>418</v>
      </c>
      <c r="B24" s="399">
        <v>112460</v>
      </c>
      <c r="C24" s="399">
        <v>75041</v>
      </c>
      <c r="D24" s="399">
        <v>33900</v>
      </c>
      <c r="E24" s="399">
        <v>59497</v>
      </c>
      <c r="F24" s="399">
        <v>71046</v>
      </c>
      <c r="G24" s="424">
        <v>351944</v>
      </c>
      <c r="H24" s="399">
        <v>5884409</v>
      </c>
    </row>
    <row r="25" spans="1:11" ht="7.9" customHeight="1" x14ac:dyDescent="0.25">
      <c r="A25" s="101" t="s">
        <v>419</v>
      </c>
      <c r="B25" s="399">
        <v>70012</v>
      </c>
      <c r="C25" s="399">
        <v>48042</v>
      </c>
      <c r="D25" s="399">
        <v>21949</v>
      </c>
      <c r="E25" s="399">
        <v>37834</v>
      </c>
      <c r="F25" s="399">
        <v>43814</v>
      </c>
      <c r="G25" s="424">
        <v>221651</v>
      </c>
      <c r="H25" s="399">
        <v>3702298</v>
      </c>
    </row>
    <row r="26" spans="1:11" ht="7.9" customHeight="1" x14ac:dyDescent="0.25">
      <c r="A26" s="18" t="s">
        <v>420</v>
      </c>
      <c r="B26" s="399">
        <v>302534</v>
      </c>
      <c r="C26" s="399">
        <v>174076</v>
      </c>
      <c r="D26" s="399">
        <v>60949</v>
      </c>
      <c r="E26" s="399">
        <v>117667</v>
      </c>
      <c r="F26" s="399">
        <v>129677</v>
      </c>
      <c r="G26" s="424">
        <v>784903</v>
      </c>
      <c r="H26" s="399">
        <v>14084091</v>
      </c>
      <c r="I26" s="240"/>
    </row>
    <row r="27" spans="1:11" ht="7.9" customHeight="1" thickBot="1" x14ac:dyDescent="0.3">
      <c r="A27" s="1008"/>
      <c r="B27" s="1009"/>
      <c r="C27" s="1009"/>
      <c r="D27" s="1009"/>
      <c r="E27" s="1009"/>
      <c r="F27" s="1009"/>
      <c r="G27" s="1010"/>
      <c r="H27" s="1009"/>
    </row>
    <row r="28" spans="1:11" s="116" customFormat="1" ht="9.9499999999999993" customHeight="1" thickTop="1" x14ac:dyDescent="0.25">
      <c r="A28" s="18" t="s">
        <v>785</v>
      </c>
      <c r="B28" s="117"/>
      <c r="C28" s="117"/>
      <c r="D28" s="117"/>
      <c r="E28" s="117"/>
      <c r="F28" s="117"/>
      <c r="G28" s="117"/>
      <c r="H28" s="118"/>
      <c r="I28" s="239"/>
      <c r="J28" s="239"/>
      <c r="K28" s="239"/>
    </row>
    <row r="29" spans="1:11" s="116" customFormat="1" ht="9.9499999999999993" customHeight="1" x14ac:dyDescent="0.25">
      <c r="A29" s="125"/>
      <c r="B29" s="117"/>
      <c r="C29" s="117"/>
      <c r="D29" s="117"/>
      <c r="E29" s="117"/>
      <c r="F29" s="117"/>
      <c r="G29" s="117"/>
      <c r="H29" s="118"/>
      <c r="I29" s="239"/>
      <c r="J29" s="239"/>
      <c r="K29" s="239"/>
    </row>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K29"/>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11.42578125" style="238" customWidth="1"/>
    <col min="10" max="10" width="16.28515625" style="238" customWidth="1"/>
    <col min="11" max="11" width="11.42578125" style="238" customWidth="1"/>
    <col min="12" max="16384" width="11.42578125" style="16"/>
  </cols>
  <sheetData>
    <row r="1" spans="1:8" ht="15" customHeight="1" x14ac:dyDescent="0.25">
      <c r="A1" s="1019" t="s">
        <v>421</v>
      </c>
      <c r="B1" s="1019"/>
      <c r="C1" s="1019"/>
      <c r="D1" s="1019"/>
      <c r="E1" s="1019"/>
      <c r="F1" s="1019"/>
      <c r="G1" s="1019"/>
      <c r="H1" s="1019"/>
    </row>
    <row r="2" spans="1:8" ht="9.9499999999999993" customHeight="1" x14ac:dyDescent="0.25">
      <c r="A2" s="1021" t="s">
        <v>786</v>
      </c>
      <c r="B2" s="1021"/>
      <c r="C2" s="1021"/>
      <c r="D2" s="1021"/>
      <c r="E2" s="1021"/>
      <c r="F2" s="1021"/>
      <c r="G2" s="1021"/>
      <c r="H2" s="1021"/>
    </row>
    <row r="3" spans="1:8" ht="7.9" customHeight="1" x14ac:dyDescent="0.25">
      <c r="A3" s="56"/>
      <c r="B3" s="63"/>
      <c r="C3" s="62"/>
      <c r="D3" s="62"/>
      <c r="E3" s="62"/>
      <c r="F3" s="62"/>
      <c r="G3" s="62"/>
      <c r="H3" s="56"/>
    </row>
    <row r="4" spans="1:8" ht="20.100000000000001" customHeight="1" x14ac:dyDescent="0.25">
      <c r="A4" s="58"/>
      <c r="B4" s="22" t="s">
        <v>374</v>
      </c>
      <c r="C4" s="22" t="s">
        <v>375</v>
      </c>
      <c r="D4" s="22" t="s">
        <v>376</v>
      </c>
      <c r="E4" s="22" t="s">
        <v>377</v>
      </c>
      <c r="F4" s="22" t="s">
        <v>378</v>
      </c>
      <c r="G4" s="23" t="s">
        <v>385</v>
      </c>
      <c r="H4" s="59" t="s">
        <v>380</v>
      </c>
    </row>
    <row r="5" spans="1:8" ht="7.9" customHeight="1" x14ac:dyDescent="0.25">
      <c r="A5" s="60"/>
      <c r="B5" s="22"/>
      <c r="C5" s="22"/>
      <c r="D5" s="22"/>
      <c r="E5" s="22"/>
      <c r="F5" s="22"/>
      <c r="G5" s="23"/>
      <c r="H5" s="23"/>
    </row>
    <row r="6" spans="1:8" ht="7.9" customHeight="1" x14ac:dyDescent="0.25">
      <c r="A6" s="32" t="s">
        <v>407</v>
      </c>
      <c r="B6" s="157">
        <f>'page 7 Démo'!B6/'page 7 Démo'!B$17</f>
        <v>6.3310453444562043E-2</v>
      </c>
      <c r="C6" s="157">
        <f>'page 7 Démo'!C6/'page 7 Démo'!C$17</f>
        <v>6.4003926392564706E-2</v>
      </c>
      <c r="D6" s="157">
        <f>'page 7 Démo'!D6/'page 7 Démo'!D$17</f>
        <v>6.2187276626161546E-2</v>
      </c>
      <c r="E6" s="157">
        <f>'page 7 Démo'!E6/'page 7 Démo'!E$17</f>
        <v>6.0370697573322675E-2</v>
      </c>
      <c r="F6" s="157">
        <f>'page 7 Démo'!F6/'page 7 Démo'!F$17</f>
        <v>5.8353140993772867E-2</v>
      </c>
      <c r="G6" s="193">
        <f>'page 7 Démo'!G6/'page 7 Démo'!G$17</f>
        <v>6.2023895991786142E-2</v>
      </c>
      <c r="H6" s="157">
        <f>'page 7 Démo'!H6/'page 7 Démo'!H$17</f>
        <v>6.0364122590704228E-2</v>
      </c>
    </row>
    <row r="7" spans="1:8" ht="7.9" customHeight="1" x14ac:dyDescent="0.25">
      <c r="A7" s="32" t="s">
        <v>408</v>
      </c>
      <c r="B7" s="376">
        <f>'page 7 Démo'!B7/'page 7 Démo'!B$17</f>
        <v>6.6032371246663654E-2</v>
      </c>
      <c r="C7" s="376">
        <f>'page 7 Démo'!C7/'page 7 Démo'!C$17</f>
        <v>6.7505373939190622E-2</v>
      </c>
      <c r="D7" s="376">
        <f>'page 7 Démo'!D7/'page 7 Démo'!D$17</f>
        <v>6.8172070959776468E-2</v>
      </c>
      <c r="E7" s="376">
        <f>'page 7 Démo'!E7/'page 7 Démo'!E$17</f>
        <v>6.469854090854911E-2</v>
      </c>
      <c r="F7" s="376">
        <f>'page 7 Démo'!F7/'page 7 Démo'!F$17</f>
        <v>6.4436724535760326E-2</v>
      </c>
      <c r="G7" s="377">
        <f>'page 7 Démo'!G7/'page 7 Démo'!G$17</f>
        <v>6.6039728326719352E-2</v>
      </c>
      <c r="H7" s="376">
        <f>'page 7 Démo'!H7/'page 7 Démo'!H$17</f>
        <v>6.1919995783819334E-2</v>
      </c>
    </row>
    <row r="8" spans="1:8" ht="7.9" customHeight="1" x14ac:dyDescent="0.25">
      <c r="A8" s="32" t="s">
        <v>409</v>
      </c>
      <c r="B8" s="157">
        <f>'page 7 Démo'!B8/'page 7 Démo'!B$17</f>
        <v>6.5771865030985352E-2</v>
      </c>
      <c r="C8" s="157">
        <f>'page 7 Démo'!C8/'page 7 Démo'!C$17</f>
        <v>6.7244442787738723E-2</v>
      </c>
      <c r="D8" s="157">
        <f>'page 7 Démo'!D8/'page 7 Démo'!D$17</f>
        <v>6.8825134836571572E-2</v>
      </c>
      <c r="E8" s="157">
        <f>'page 7 Démo'!E8/'page 7 Démo'!E$17</f>
        <v>6.565911528996024E-2</v>
      </c>
      <c r="F8" s="157">
        <f>'page 7 Démo'!F8/'page 7 Démo'!F$17</f>
        <v>6.3694787248349524E-2</v>
      </c>
      <c r="G8" s="193">
        <f>'page 7 Démo'!G8/'page 7 Démo'!G$17</f>
        <v>6.5957850027694928E-2</v>
      </c>
      <c r="H8" s="157">
        <f>'page 7 Démo'!H8/'page 7 Démo'!H$17</f>
        <v>6.1902694063797052E-2</v>
      </c>
    </row>
    <row r="9" spans="1:8" ht="7.9" customHeight="1" x14ac:dyDescent="0.25">
      <c r="A9" s="32" t="s">
        <v>410</v>
      </c>
      <c r="B9" s="157">
        <f>'page 7 Démo'!B9/'page 7 Démo'!B$17</f>
        <v>6.3582868515814212E-2</v>
      </c>
      <c r="C9" s="157">
        <f>'page 7 Démo'!C9/'page 7 Démo'!C$17</f>
        <v>6.4939550949913646E-2</v>
      </c>
      <c r="D9" s="157">
        <f>'page 7 Démo'!D9/'page 7 Démo'!D$17</f>
        <v>5.7716550783026836E-2</v>
      </c>
      <c r="E9" s="157">
        <f>'page 7 Démo'!E9/'page 7 Démo'!E$17</f>
        <v>6.0780869845677064E-2</v>
      </c>
      <c r="F9" s="157">
        <f>'page 7 Démo'!F9/'page 7 Démo'!F$17</f>
        <v>5.2623148745582E-2</v>
      </c>
      <c r="G9" s="193">
        <f>'page 7 Démo'!G9/'page 7 Démo'!G$17</f>
        <v>6.0989572446162987E-2</v>
      </c>
      <c r="H9" s="157">
        <f>'page 7 Démo'!H9/'page 7 Démo'!H$17</f>
        <v>5.9460260105962795E-2</v>
      </c>
    </row>
    <row r="10" spans="1:8" ht="7.9" customHeight="1" x14ac:dyDescent="0.25">
      <c r="A10" s="32" t="s">
        <v>411</v>
      </c>
      <c r="B10" s="157">
        <f>'page 7 Démo'!B10/'page 7 Démo'!B$17</f>
        <v>6.0788008973322677E-2</v>
      </c>
      <c r="C10" s="157">
        <f>'page 7 Démo'!C10/'page 7 Démo'!C$17</f>
        <v>6.0534784607547125E-2</v>
      </c>
      <c r="D10" s="157">
        <f>'page 7 Démo'!D10/'page 7 Démo'!D$17</f>
        <v>4.8092793553837158E-2</v>
      </c>
      <c r="E10" s="157">
        <f>'page 7 Démo'!E10/'page 7 Démo'!E$17</f>
        <v>5.206383262166691E-2</v>
      </c>
      <c r="F10" s="157">
        <f>'page 7 Démo'!F10/'page 7 Démo'!F$17</f>
        <v>4.3174403616906498E-2</v>
      </c>
      <c r="G10" s="193">
        <f>'page 7 Démo'!G10/'page 7 Démo'!G$17</f>
        <v>5.516374168643811E-2</v>
      </c>
      <c r="H10" s="157">
        <f>'page 7 Démo'!H10/'page 7 Démo'!H$17</f>
        <v>5.8799778275410185E-2</v>
      </c>
    </row>
    <row r="11" spans="1:8" ht="7.9" customHeight="1" x14ac:dyDescent="0.25">
      <c r="A11" s="32" t="s">
        <v>209</v>
      </c>
      <c r="B11" s="157">
        <f>'page 7 Démo'!B11/'page 7 Démo'!B$17</f>
        <v>0.39242954051169376</v>
      </c>
      <c r="C11" s="157">
        <f>'page 7 Démo'!C11/'page 7 Démo'!C$17</f>
        <v>0.37520160037772893</v>
      </c>
      <c r="D11" s="157">
        <f>'page 7 Démo'!D11/'page 7 Démo'!D$17</f>
        <v>0.36779517837416337</v>
      </c>
      <c r="E11" s="157">
        <f>'page 7 Démo'!E11/'page 7 Démo'!E$17</f>
        <v>0.36997889540957629</v>
      </c>
      <c r="F11" s="157">
        <f>'page 7 Démo'!F11/'page 7 Démo'!F$17</f>
        <v>0.36868994425648366</v>
      </c>
      <c r="G11" s="193">
        <f>'page 7 Démo'!G11/'page 7 Démo'!G$17</f>
        <v>0.37888288176909179</v>
      </c>
      <c r="H11" s="157">
        <f>'page 7 Démo'!H11/'page 7 Démo'!H$17</f>
        <v>0.38948405208095932</v>
      </c>
    </row>
    <row r="12" spans="1:8" ht="7.9" customHeight="1" x14ac:dyDescent="0.25">
      <c r="A12" s="32" t="s">
        <v>412</v>
      </c>
      <c r="B12" s="157">
        <f>'page 7 Démo'!B12/'page 7 Démo'!B$17</f>
        <v>6.0766424172595042E-2</v>
      </c>
      <c r="C12" s="157">
        <f>'page 7 Démo'!C12/'page 7 Démo'!C$17</f>
        <v>6.2361302667710394E-2</v>
      </c>
      <c r="D12" s="157">
        <f>'page 7 Démo'!D12/'page 7 Démo'!D$17</f>
        <v>6.468256546884138E-2</v>
      </c>
      <c r="E12" s="157">
        <f>'page 7 Démo'!E12/'page 7 Démo'!E$17</f>
        <v>6.534710390329751E-2</v>
      </c>
      <c r="F12" s="157">
        <f>'page 7 Démo'!F12/'page 7 Démo'!F$17</f>
        <v>6.5366034987405203E-2</v>
      </c>
      <c r="G12" s="193">
        <f>'page 7 Démo'!G12/'page 7 Démo'!G$17</f>
        <v>6.2974985637407652E-2</v>
      </c>
      <c r="H12" s="157">
        <f>'page 7 Démo'!H12/'page 7 Démo'!H$17</f>
        <v>6.3877934692899471E-2</v>
      </c>
    </row>
    <row r="13" spans="1:8" ht="7.9" customHeight="1" x14ac:dyDescent="0.25">
      <c r="A13" s="32" t="s">
        <v>413</v>
      </c>
      <c r="B13" s="157">
        <f>'page 7 Démo'!B13/'page 7 Démo'!B$17</f>
        <v>6.0253599079445462E-2</v>
      </c>
      <c r="C13" s="157">
        <f>'page 7 Démo'!C13/'page 7 Démo'!C$17</f>
        <v>6.0032802773325379E-2</v>
      </c>
      <c r="D13" s="157">
        <f>'page 7 Démo'!D13/'page 7 Démo'!D$17</f>
        <v>6.4029501592046262E-2</v>
      </c>
      <c r="E13" s="157">
        <f>'page 7 Démo'!E13/'page 7 Démo'!E$17</f>
        <v>6.5259460255358531E-2</v>
      </c>
      <c r="F13" s="157">
        <f>'page 7 Démo'!F13/'page 7 Démo'!F$17</f>
        <v>7.1176114152567083E-2</v>
      </c>
      <c r="G13" s="193">
        <f>'page 7 Démo'!G13/'page 7 Démo'!G$17</f>
        <v>6.325451055891157E-2</v>
      </c>
      <c r="H13" s="157">
        <f>'page 7 Démo'!H13/'page 7 Démo'!H$17</f>
        <v>6.2386642084366187E-2</v>
      </c>
    </row>
    <row r="14" spans="1:8" ht="7.9" customHeight="1" x14ac:dyDescent="0.25">
      <c r="A14" s="32" t="s">
        <v>414</v>
      </c>
      <c r="B14" s="157">
        <f>'page 7 Démo'!B14/'page 7 Démo'!B$17</f>
        <v>8.3360500410111213E-2</v>
      </c>
      <c r="C14" s="157">
        <f>'page 7 Démo'!C14/'page 7 Démo'!C$17</f>
        <v>8.493557485617724E-2</v>
      </c>
      <c r="D14" s="157">
        <f>'page 7 Démo'!D14/'page 7 Démo'!D$17</f>
        <v>8.8355318734160762E-2</v>
      </c>
      <c r="E14" s="157">
        <f>'page 7 Démo'!E14/'page 7 Démo'!E$17</f>
        <v>9.1550801764091347E-2</v>
      </c>
      <c r="F14" s="157">
        <f>'page 7 Démo'!F14/'page 7 Démo'!F$17</f>
        <v>0.10512994480047025</v>
      </c>
      <c r="G14" s="193">
        <f>'page 7 Démo'!G14/'page 7 Démo'!G$17</f>
        <v>8.9293707490047849E-2</v>
      </c>
      <c r="H14" s="157">
        <f>'page 7 Démo'!H14/'page 7 Démo'!H$17</f>
        <v>8.9834875322430133E-2</v>
      </c>
    </row>
    <row r="15" spans="1:8" ht="7.9" customHeight="1" x14ac:dyDescent="0.25">
      <c r="A15" s="32" t="s">
        <v>415</v>
      </c>
      <c r="B15" s="157">
        <f>'page 7 Démo'!B15/'page 7 Démo'!B$17</f>
        <v>5.7203443445589183E-2</v>
      </c>
      <c r="C15" s="157">
        <f>'page 7 Démo'!C15/'page 7 Démo'!C$17</f>
        <v>6.2233322150569696E-2</v>
      </c>
      <c r="D15" s="157">
        <f>'page 7 Démo'!D15/'page 7 Démo'!D$17</f>
        <v>7.3016440314510364E-2</v>
      </c>
      <c r="E15" s="157">
        <f>'page 7 Démo'!E15/'page 7 Démo'!E$17</f>
        <v>7.0779257202554985E-2</v>
      </c>
      <c r="F15" s="157">
        <f>'page 7 Démo'!F15/'page 7 Démo'!F$17</f>
        <v>7.3924757585968767E-2</v>
      </c>
      <c r="G15" s="193">
        <f>'page 7 Démo'!G15/'page 7 Démo'!G$17</f>
        <v>6.4720457455683375E-2</v>
      </c>
      <c r="H15" s="157">
        <f>'page 7 Démo'!H15/'page 7 Démo'!H$17</f>
        <v>6.2927293483653349E-2</v>
      </c>
    </row>
    <row r="16" spans="1:8" ht="7.9" customHeight="1" x14ac:dyDescent="0.25">
      <c r="A16" s="32" t="s">
        <v>416</v>
      </c>
      <c r="B16" s="157">
        <f>'page 7 Démo'!B16/'page 7 Démo'!B$17</f>
        <v>2.6500925169217395E-2</v>
      </c>
      <c r="C16" s="157">
        <f>'page 7 Démo'!C16/'page 7 Démo'!C$17</f>
        <v>3.1007318497533579E-2</v>
      </c>
      <c r="D16" s="157">
        <f>'page 7 Démo'!D16/'page 7 Démo'!D$17</f>
        <v>3.7127168756904284E-2</v>
      </c>
      <c r="E16" s="157">
        <f>'page 7 Démo'!E16/'page 7 Démo'!E$17</f>
        <v>3.3511425225945322E-2</v>
      </c>
      <c r="F16" s="157">
        <f>'page 7 Démo'!F16/'page 7 Démo'!F$17</f>
        <v>3.3430999076733844E-2</v>
      </c>
      <c r="G16" s="193">
        <f>'page 7 Démo'!G16/'page 7 Démo'!G$17</f>
        <v>3.0698668610056226E-2</v>
      </c>
      <c r="H16" s="157">
        <f>'page 7 Démo'!H16/'page 7 Démo'!H$17</f>
        <v>2.9042351515997964E-2</v>
      </c>
    </row>
    <row r="17" spans="1:11" ht="7.9" customHeight="1" x14ac:dyDescent="0.25">
      <c r="A17" s="918" t="s">
        <v>417</v>
      </c>
      <c r="B17" s="926">
        <f>'page 7 Démo'!B17/'page 7 Démo'!B$17</f>
        <v>1</v>
      </c>
      <c r="C17" s="926">
        <f>'page 7 Démo'!C17/'page 7 Démo'!C$17</f>
        <v>1</v>
      </c>
      <c r="D17" s="926">
        <f>'page 7 Démo'!D17/'page 7 Démo'!D$17</f>
        <v>1</v>
      </c>
      <c r="E17" s="926">
        <f>'page 7 Démo'!E17/'page 7 Démo'!E$17</f>
        <v>1</v>
      </c>
      <c r="F17" s="926">
        <f>'page 7 Démo'!F17/'page 7 Démo'!F$17</f>
        <v>1</v>
      </c>
      <c r="G17" s="926">
        <f>'page 7 Démo'!G17/'page 7 Démo'!G$17</f>
        <v>1</v>
      </c>
      <c r="H17" s="926">
        <f>'page 7 Démo'!H17/'page 7 Démo'!H$17</f>
        <v>1</v>
      </c>
    </row>
    <row r="18" spans="1:11" s="114" customFormat="1" ht="7.9" customHeight="1" x14ac:dyDescent="0.25">
      <c r="A18" s="68"/>
      <c r="B18" s="115"/>
      <c r="C18" s="115"/>
      <c r="D18" s="115"/>
      <c r="E18" s="115"/>
      <c r="F18" s="115"/>
      <c r="G18" s="115"/>
      <c r="H18" s="115"/>
      <c r="I18" s="238"/>
      <c r="J18" s="240"/>
      <c r="K18" s="240"/>
    </row>
    <row r="19" spans="1:11" ht="7.9" customHeight="1" x14ac:dyDescent="0.25">
      <c r="A19" s="101" t="s">
        <v>358</v>
      </c>
      <c r="B19" s="157">
        <f>'page 7 Démo'!B19/'page 7 Démo'!B$17</f>
        <v>7.6489835047464233E-2</v>
      </c>
      <c r="C19" s="157">
        <f>'page 7 Démo'!C19/'page 7 Démo'!C$17</f>
        <v>7.7313900175196626E-2</v>
      </c>
      <c r="D19" s="157">
        <f>'page 7 Démo'!D19/'page 7 Démo'!D$17</f>
        <v>7.5540970823315359E-2</v>
      </c>
      <c r="E19" s="157">
        <f>'page 7 Démo'!E19/'page 7 Démo'!E$17</f>
        <v>7.322626785301109E-2</v>
      </c>
      <c r="F19" s="157">
        <f>'page 7 Démo'!F19/'page 7 Démo'!F$17</f>
        <v>7.1068827905304027E-2</v>
      </c>
      <c r="G19" s="193">
        <f>'page 7 Démo'!G19/'page 7 Démo'!G$17</f>
        <v>7.5113036787485959E-2</v>
      </c>
      <c r="H19" s="157">
        <f>'page 7 Démo'!H19/'page 7 Démo'!H$17</f>
        <v>7.2764595110524549E-2</v>
      </c>
    </row>
    <row r="20" spans="1:11" ht="7.9" customHeight="1" x14ac:dyDescent="0.25">
      <c r="A20" s="18" t="s">
        <v>438</v>
      </c>
      <c r="B20" s="157">
        <f>'page 7 Démo'!B20/'page 7 Démo'!B$17</f>
        <v>0.14397062085329929</v>
      </c>
      <c r="C20" s="157">
        <f>'page 7 Démo'!C20/'page 7 Démo'!C$17</f>
        <v>0.14701233831587579</v>
      </c>
      <c r="D20" s="157">
        <f>'page 7 Démo'!D20/'page 7 Démo'!D$17</f>
        <v>0.1488660731691468</v>
      </c>
      <c r="E20" s="157">
        <f>'page 7 Démo'!E20/'page 7 Démo'!E$17</f>
        <v>0.14273644503340976</v>
      </c>
      <c r="F20" s="157">
        <f>'page 7 Démo'!F20/'page 7 Démo'!F$17</f>
        <v>0.13868938515913876</v>
      </c>
      <c r="G20" s="193">
        <f>'page 7 Démo'!G20/'page 7 Démo'!G$17</f>
        <v>0.14390436397777789</v>
      </c>
      <c r="H20" s="157">
        <f>'page 7 Démo'!H20/'page 7 Démo'!H$17</f>
        <v>0.13551213513259136</v>
      </c>
    </row>
    <row r="21" spans="1:11" ht="7.9" customHeight="1" x14ac:dyDescent="0.25">
      <c r="A21" s="18" t="s">
        <v>371</v>
      </c>
      <c r="B21" s="157">
        <f>'page 7 Démo'!B21/'page 7 Démo'!B$17</f>
        <v>0.12337648804871913</v>
      </c>
      <c r="C21" s="157">
        <f>'page 7 Démo'!C21/'page 7 Démo'!C$17</f>
        <v>0.12409140045476572</v>
      </c>
      <c r="D21" s="157">
        <f>'page 7 Démo'!D21/'page 7 Démo'!D$17</f>
        <v>0.10267073883943076</v>
      </c>
      <c r="E21" s="157">
        <f>'page 7 Démo'!E21/'page 7 Démo'!E$17</f>
        <v>0.11043800789493981</v>
      </c>
      <c r="F21" s="157">
        <f>'page 7 Démo'!F21/'page 7 Démo'!F$17</f>
        <v>9.3215127058649316E-2</v>
      </c>
      <c r="G21" s="193">
        <f>'page 7 Démo'!G21/'page 7 Démo'!G$17</f>
        <v>0.11439184622279411</v>
      </c>
      <c r="H21" s="157">
        <f>'page 7 Démo'!H21/'page 7 Démo'!H$17</f>
        <v>0.11809364803687683</v>
      </c>
    </row>
    <row r="22" spans="1:11" ht="7.9" customHeight="1" x14ac:dyDescent="0.25">
      <c r="A22" s="18" t="s">
        <v>210</v>
      </c>
      <c r="B22" s="157">
        <f>'page 7 Démo'!B22/'page 7 Démo'!B$17</f>
        <v>0.50173571569989084</v>
      </c>
      <c r="C22" s="157">
        <f>'page 7 Démo'!C22/'page 7 Démo'!C$17</f>
        <v>0.48610852250841813</v>
      </c>
      <c r="D22" s="157">
        <f>'page 7 Démo'!D22/'page 7 Démo'!D$17</f>
        <v>0.48651309376827606</v>
      </c>
      <c r="E22" s="157">
        <f>'page 7 Démo'!E22/'page 7 Démo'!E$17</f>
        <v>0.49019267579562903</v>
      </c>
      <c r="F22" s="157">
        <f>'page 7 Démo'!F22/'page 7 Démo'!F$17</f>
        <v>0.49607649660537245</v>
      </c>
      <c r="G22" s="193">
        <f>'page 7 Démo'!G22/'page 7 Démo'!G$17</f>
        <v>0.49425482749842004</v>
      </c>
      <c r="H22" s="157">
        <f>'page 7 Démo'!H22/'page 7 Démo'!H$17</f>
        <v>0.50378013668140009</v>
      </c>
    </row>
    <row r="23" spans="1:11" ht="7.9" customHeight="1" x14ac:dyDescent="0.25">
      <c r="A23" s="18" t="s">
        <v>211</v>
      </c>
      <c r="B23" s="157">
        <f>'page 7 Démo'!B23/'page 7 Démo'!B$17</f>
        <v>0.16706486902491779</v>
      </c>
      <c r="C23" s="157">
        <f>'page 7 Démo'!C23/'page 7 Démo'!C$17</f>
        <v>0.17817621550428051</v>
      </c>
      <c r="D23" s="157">
        <f>'page 7 Démo'!D23/'page 7 Démo'!D$17</f>
        <v>0.1984989278055754</v>
      </c>
      <c r="E23" s="157">
        <f>'page 7 Démo'!E23/'page 7 Démo'!E$17</f>
        <v>0.19584148419259165</v>
      </c>
      <c r="F23" s="157">
        <f>'page 7 Démo'!F23/'page 7 Démo'!F$17</f>
        <v>0.21248570146317286</v>
      </c>
      <c r="G23" s="193">
        <f>'page 7 Démo'!G23/'page 7 Démo'!G$17</f>
        <v>0.18471283355578746</v>
      </c>
      <c r="H23" s="157">
        <f>'page 7 Démo'!H23/'page 7 Démo'!H$17</f>
        <v>0.18180452032208144</v>
      </c>
    </row>
    <row r="24" spans="1:11" ht="7.9" customHeight="1" x14ac:dyDescent="0.25">
      <c r="A24" s="101" t="s">
        <v>418</v>
      </c>
      <c r="B24" s="157">
        <f>'page 7 Démo'!B24/'page 7 Démo'!B$17</f>
        <v>8.3704368614806582E-2</v>
      </c>
      <c r="C24" s="157">
        <f>'page 7 Démo'!C24/'page 7 Démo'!C$17</f>
        <v>9.3240640648103279E-2</v>
      </c>
      <c r="D24" s="157">
        <f>'page 7 Démo'!D24/'page 7 Démo'!D$17</f>
        <v>0.11014360907141464</v>
      </c>
      <c r="E24" s="157">
        <f>'page 7 Démo'!E24/'page 7 Démo'!E$17</f>
        <v>0.10429068242850031</v>
      </c>
      <c r="F24" s="157">
        <f>'page 7 Démo'!F24/'page 7 Démo'!F$17</f>
        <v>0.10735575666270261</v>
      </c>
      <c r="G24" s="193">
        <f>'page 7 Démo'!G24/'page 7 Démo'!G$17</f>
        <v>9.5419126065739601E-2</v>
      </c>
      <c r="H24" s="157">
        <f>'page 7 Démo'!H24/'page 7 Démo'!H$17</f>
        <v>9.1969644999651309E-2</v>
      </c>
    </row>
    <row r="25" spans="1:11" ht="7.9" customHeight="1" x14ac:dyDescent="0.25">
      <c r="A25" s="101" t="s">
        <v>419</v>
      </c>
      <c r="B25" s="157">
        <f>'page 7 Démo'!B25/'page 7 Démo'!B$17</f>
        <v>5.2110174777341617E-2</v>
      </c>
      <c r="C25" s="157">
        <f>'page 7 Démo'!C25/'page 7 Démo'!C$17</f>
        <v>5.9693592276437918E-2</v>
      </c>
      <c r="D25" s="157">
        <f>'page 7 Démo'!D25/'page 7 Démo'!D$17</f>
        <v>7.1313925531223607E-2</v>
      </c>
      <c r="E25" s="157">
        <f>'page 7 Démo'!E25/'page 7 Démo'!E$17</f>
        <v>6.6318195522461321E-2</v>
      </c>
      <c r="F25" s="157">
        <f>'page 7 Démo'!F25/'page 7 Démo'!F$17</f>
        <v>6.6206192078648377E-2</v>
      </c>
      <c r="G25" s="193">
        <f>'page 7 Démo'!G25/'page 7 Démo'!G$17</f>
        <v>6.0094062440607734E-2</v>
      </c>
      <c r="H25" s="157">
        <f>'page 7 Démo'!H25/'page 7 Démo'!H$17</f>
        <v>5.7864610149110818E-2</v>
      </c>
    </row>
    <row r="26" spans="1:11" ht="7.9" customHeight="1" x14ac:dyDescent="0.25">
      <c r="A26" s="18" t="s">
        <v>420</v>
      </c>
      <c r="B26" s="157">
        <f>'page 7 Démo'!B26/'page 7 Démo'!B$17</f>
        <v>0.22517710701148758</v>
      </c>
      <c r="C26" s="157">
        <f>'page 7 Démo'!C26/'page 7 Démo'!C$17</f>
        <v>0.21629452914352457</v>
      </c>
      <c r="D26" s="157">
        <f>'page 7 Démo'!D26/'page 7 Démo'!D$17</f>
        <v>0.19802781207355905</v>
      </c>
      <c r="E26" s="157">
        <f>'page 7 Démo'!E26/'page 7 Démo'!E$17</f>
        <v>0.20625530244070031</v>
      </c>
      <c r="F26" s="157">
        <f>'page 7 Démo'!F26/'page 7 Démo'!F$17</f>
        <v>0.19595153079341956</v>
      </c>
      <c r="G26" s="193">
        <f>'page 7 Démo'!G26/'page 7 Démo'!G$17</f>
        <v>0.21280305476546613</v>
      </c>
      <c r="H26" s="157">
        <f>'page 7 Démo'!H26/'page 7 Démo'!H$17</f>
        <v>0.22012556391181917</v>
      </c>
    </row>
    <row r="27" spans="1:11" ht="7.9" customHeight="1" thickBot="1" x14ac:dyDescent="0.3">
      <c r="A27" s="1008"/>
      <c r="B27" s="1009"/>
      <c r="C27" s="1009"/>
      <c r="D27" s="1009"/>
      <c r="E27" s="1009"/>
      <c r="F27" s="1009"/>
      <c r="G27" s="1010"/>
      <c r="H27" s="1009"/>
    </row>
    <row r="28" spans="1:11" s="116" customFormat="1" ht="9.9499999999999993" customHeight="1" thickTop="1" x14ac:dyDescent="0.25">
      <c r="A28" s="18" t="s">
        <v>785</v>
      </c>
      <c r="B28" s="117"/>
      <c r="C28" s="117"/>
      <c r="D28" s="117"/>
      <c r="E28" s="117"/>
      <c r="F28" s="117"/>
      <c r="G28" s="117"/>
      <c r="H28" s="118"/>
      <c r="I28" s="239"/>
      <c r="J28" s="239"/>
      <c r="K28" s="239"/>
    </row>
    <row r="29" spans="1:11" s="116" customFormat="1" ht="9.9499999999999993" customHeight="1" x14ac:dyDescent="0.25">
      <c r="A29" s="125"/>
      <c r="B29" s="117"/>
      <c r="C29" s="117"/>
      <c r="D29" s="117"/>
      <c r="E29" s="117"/>
      <c r="F29" s="117"/>
      <c r="G29" s="117"/>
      <c r="H29" s="118"/>
      <c r="I29" s="239"/>
      <c r="J29" s="239"/>
      <c r="K29" s="239"/>
    </row>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62</vt:i4>
      </vt:variant>
      <vt:variant>
        <vt:lpstr>Plages nommées</vt:lpstr>
      </vt:variant>
      <vt:variant>
        <vt:i4>11</vt:i4>
      </vt:variant>
    </vt:vector>
  </HeadingPairs>
  <TitlesOfParts>
    <vt:vector size="73" baseType="lpstr">
      <vt:lpstr>Couverture</vt:lpstr>
      <vt:lpstr>page 1 AVANT PROPOS </vt:lpstr>
      <vt:lpstr>page 2 SOMMAIRE</vt:lpstr>
      <vt:lpstr>page 3 SOMMAIRE</vt:lpstr>
      <vt:lpstr>page 4 blanche</vt:lpstr>
      <vt:lpstr>page 5 Démo</vt:lpstr>
      <vt:lpstr>page 6 Démo</vt:lpstr>
      <vt:lpstr>page 7 Démo</vt:lpstr>
      <vt:lpstr>page 8 Démo</vt:lpstr>
      <vt:lpstr>page 9 Ville</vt:lpstr>
      <vt:lpstr>page 10 Pauvreté</vt:lpstr>
      <vt:lpstr>page 11 Pauvreté </vt:lpstr>
      <vt:lpstr>page 12 Pauvreté</vt:lpstr>
      <vt:lpstr>page 13 Pauvreté</vt:lpstr>
      <vt:lpstr>page 14 Pauvreté</vt:lpstr>
      <vt:lpstr>page 15 Pauvreté</vt:lpstr>
      <vt:lpstr>page 16 Pauvreté </vt:lpstr>
      <vt:lpstr>page 17 Pauvreté</vt:lpstr>
      <vt:lpstr>page 18 pauvreté</vt:lpstr>
      <vt:lpstr>page 19 Pauvreté</vt:lpstr>
      <vt:lpstr>page 20 Pauvreté</vt:lpstr>
      <vt:lpstr>page 21 Handicap</vt:lpstr>
      <vt:lpstr>page 22 Handicap </vt:lpstr>
      <vt:lpstr>page 23 Handicap </vt:lpstr>
      <vt:lpstr>page 24 Logement</vt:lpstr>
      <vt:lpstr>page 25 Logement</vt:lpstr>
      <vt:lpstr>page 26 Logement</vt:lpstr>
      <vt:lpstr>page 27 - Logement</vt:lpstr>
      <vt:lpstr>page 28 Logement</vt:lpstr>
      <vt:lpstr>page 29 Jeunesse</vt:lpstr>
      <vt:lpstr>page 30 Jeunesse</vt:lpstr>
      <vt:lpstr>page 31 Jeunesse</vt:lpstr>
      <vt:lpstr>page 32 Jeunesse</vt:lpstr>
      <vt:lpstr>page 33 Jeunesse</vt:lpstr>
      <vt:lpstr>page 34 Jeunesse</vt:lpstr>
      <vt:lpstr>page 35 Enfance</vt:lpstr>
      <vt:lpstr>page 36 Enfance</vt:lpstr>
      <vt:lpstr>page 37 Enfance</vt:lpstr>
      <vt:lpstr>page 38 Enfance</vt:lpstr>
      <vt:lpstr>page 39 Immigration</vt:lpstr>
      <vt:lpstr>page 40 Immigration </vt:lpstr>
      <vt:lpstr>page 41 Immigration</vt:lpstr>
      <vt:lpstr>page 42 Immigration</vt:lpstr>
      <vt:lpstr>page 43 Immigration</vt:lpstr>
      <vt:lpstr>page 44 Sport</vt:lpstr>
      <vt:lpstr>page 45 sport</vt:lpstr>
      <vt:lpstr>page 46 Sport </vt:lpstr>
      <vt:lpstr>page 47 Sport</vt:lpstr>
      <vt:lpstr>page 48 Diplômes</vt:lpstr>
      <vt:lpstr>page 49 Diplômes</vt:lpstr>
      <vt:lpstr>page 50 Diplômes</vt:lpstr>
      <vt:lpstr>page 51 Assoc</vt:lpstr>
      <vt:lpstr>page 52 Assoc</vt:lpstr>
      <vt:lpstr>page 53 Assoc</vt:lpstr>
      <vt:lpstr>page 54 Assoc</vt:lpstr>
      <vt:lpstr>page 55 Assoc</vt:lpstr>
      <vt:lpstr>page 56 Assoc</vt:lpstr>
      <vt:lpstr>page 57 POUR EN SAVOIR +</vt:lpstr>
      <vt:lpstr>page 58 GLOSSAIRE 1</vt:lpstr>
      <vt:lpstr>page 59 GLOSSAIRE 2</vt:lpstr>
      <vt:lpstr>page 60 ADRESSES UTILES</vt:lpstr>
      <vt:lpstr>4ème de COUVERTURE</vt:lpstr>
      <vt:lpstr>'page 19 Pauvreté'!Zone_d_impression</vt:lpstr>
      <vt:lpstr>'page 2 SOMMAIRE'!Zone_d_impression</vt:lpstr>
      <vt:lpstr>'page 22 Handicap '!Zone_d_impression</vt:lpstr>
      <vt:lpstr>'page 28 Logement'!Zone_d_impression</vt:lpstr>
      <vt:lpstr>'page 30 Jeunesse'!Zone_d_impression</vt:lpstr>
      <vt:lpstr>'page 34 Jeunesse'!Zone_d_impression</vt:lpstr>
      <vt:lpstr>'page 36 Enfance'!Zone_d_impression</vt:lpstr>
      <vt:lpstr>'page 37 Enfance'!Zone_d_impression</vt:lpstr>
      <vt:lpstr>'page 48 Diplômes'!Zone_d_impression</vt:lpstr>
      <vt:lpstr>'page 50 Diplômes'!Zone_d_impression</vt:lpstr>
      <vt:lpstr>'page 51 Assoc'!Zone_d_impression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 2012 en cours de remplissage</dc:title>
  <dc:creator>lebouteux</dc:creator>
  <cp:lastModifiedBy>Gallard, Elisabeth</cp:lastModifiedBy>
  <cp:lastPrinted>2017-10-02T13:20:44Z</cp:lastPrinted>
  <dcterms:created xsi:type="dcterms:W3CDTF">2010-09-28T09:43:56Z</dcterms:created>
  <dcterms:modified xsi:type="dcterms:W3CDTF">2018-02-23T13:09:51Z</dcterms:modified>
</cp:coreProperties>
</file>