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drawings/drawing8.xml" ContentType="application/vnd.openxmlformats-officedocument.drawing+xml"/>
  <Override PartName="/xl/worksheets/sheet23.xml" ContentType="application/vnd.openxmlformats-officedocument.spreadsheetml.worksheet+xml"/>
  <Override PartName="/xl/drawings/drawing9.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drawings/drawing10.xml" ContentType="application/vnd.openxmlformats-officedocument.drawing+xml"/>
  <Override PartName="/xl/worksheets/sheet49.xml" ContentType="application/vnd.openxmlformats-officedocument.spreadsheetml.worksheet+xml"/>
  <Override PartName="/xl/drawings/drawing11.xml" ContentType="application/vnd.openxmlformats-officedocument.drawing+xml"/>
  <Override PartName="/xl/worksheets/sheet50.xml" ContentType="application/vnd.openxmlformats-officedocument.spreadsheetml.worksheet+xml"/>
  <Override PartName="/xl/drawings/drawing12.xml" ContentType="application/vnd.openxmlformats-officedocument.drawing+xml"/>
  <Override PartName="/xl/worksheets/sheet51.xml" ContentType="application/vnd.openxmlformats-officedocument.spreadsheetml.worksheet+xml"/>
  <Override PartName="/xl/drawings/drawing13.xml" ContentType="application/vnd.openxmlformats-officedocument.drawing+xml"/>
  <Override PartName="/xl/worksheets/sheet52.xml" ContentType="application/vnd.openxmlformats-officedocument.spreadsheetml.worksheet+xml"/>
  <Override PartName="/xl/drawings/drawing14.xml" ContentType="application/vnd.openxmlformats-officedocument.drawing+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drawings/drawing15.xml" ContentType="application/vnd.openxmlformats-officedocument.drawing+xml"/>
  <Override PartName="/xl/worksheets/sheet57.xml" ContentType="application/vnd.openxmlformats-officedocument.spreadsheetml.worksheet+xml"/>
  <Override PartName="/xl/drawings/drawing16.xml" ContentType="application/vnd.openxmlformats-officedocument.drawing+xml"/>
  <Override PartName="/xl/worksheets/sheet5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30" windowHeight="9375" tabRatio="934" activeTab="0"/>
  </bookViews>
  <sheets>
    <sheet name="Couverture" sheetId="1" r:id="rId1"/>
    <sheet name="page 1 AVANT PROPOS " sheetId="2" r:id="rId2"/>
    <sheet name="page 2 SOMMAIRE" sheetId="3" r:id="rId3"/>
    <sheet name="page 3 SOMMAIRE" sheetId="4" r:id="rId4"/>
    <sheet name="page 4 blanche" sheetId="5" r:id="rId5"/>
    <sheet name="page 5 Démo" sheetId="6" r:id="rId6"/>
    <sheet name="page 6 Démo" sheetId="7" r:id="rId7"/>
    <sheet name="page 7 Démo" sheetId="8" r:id="rId8"/>
    <sheet name="page 8 Démo" sheetId="9" r:id="rId9"/>
    <sheet name="page 9 Ville" sheetId="10" r:id="rId10"/>
    <sheet name="page 10 Pauvreté" sheetId="11" r:id="rId11"/>
    <sheet name="page 11 Pauvreté " sheetId="12" r:id="rId12"/>
    <sheet name="page 12 Pauvreté" sheetId="13" r:id="rId13"/>
    <sheet name="page 13 Pauvreté" sheetId="14" r:id="rId14"/>
    <sheet name="page 14 Pauvreté" sheetId="15" r:id="rId15"/>
    <sheet name="page 15 Pauvreté " sheetId="16" r:id="rId16"/>
    <sheet name="page 16 Pauvreté" sheetId="17" r:id="rId17"/>
    <sheet name="page 17 pauvreté" sheetId="18" r:id="rId18"/>
    <sheet name="page 18 Pauvreté" sheetId="19" r:id="rId19"/>
    <sheet name="page 19 Pauvreté" sheetId="20" r:id="rId20"/>
    <sheet name="page 20 Handicap" sheetId="21" r:id="rId21"/>
    <sheet name="page 21 Handicap " sheetId="22" r:id="rId22"/>
    <sheet name="page 22 Handicap " sheetId="23" r:id="rId23"/>
    <sheet name="page 23 Logement" sheetId="24" r:id="rId24"/>
    <sheet name="page 24 Logement" sheetId="25" r:id="rId25"/>
    <sheet name="page 25 Logement" sheetId="26" r:id="rId26"/>
    <sheet name="page 26 - Logement" sheetId="27" r:id="rId27"/>
    <sheet name="page 27 Logement" sheetId="28" r:id="rId28"/>
    <sheet name="page 28 Jeunesse" sheetId="29" r:id="rId29"/>
    <sheet name="page 29 Jeunesse" sheetId="30" r:id="rId30"/>
    <sheet name="page 30 Jeunesse" sheetId="31" r:id="rId31"/>
    <sheet name="page 31 Jeunesse" sheetId="32" r:id="rId32"/>
    <sheet name="page 32 Jeunesse" sheetId="33" r:id="rId33"/>
    <sheet name="page 33 Jeunesse" sheetId="34" r:id="rId34"/>
    <sheet name="page 34 Enfance" sheetId="35" r:id="rId35"/>
    <sheet name="page 35 Enfance" sheetId="36" r:id="rId36"/>
    <sheet name="page 36 Enfance" sheetId="37" r:id="rId37"/>
    <sheet name="page 37 Immigration" sheetId="38" r:id="rId38"/>
    <sheet name="page 38 Immigration" sheetId="39" r:id="rId39"/>
    <sheet name="page 39 Sport" sheetId="40" r:id="rId40"/>
    <sheet name="page 40 sport" sheetId="41" r:id="rId41"/>
    <sheet name="page 41 Sport " sheetId="42" r:id="rId42"/>
    <sheet name="page 42 Sport" sheetId="43" r:id="rId43"/>
    <sheet name="page 43 Diplômes" sheetId="44" r:id="rId44"/>
    <sheet name="page 44 Diplômes" sheetId="45" r:id="rId45"/>
    <sheet name="page 45 Diplômes" sheetId="46" r:id="rId46"/>
    <sheet name="page 46 Assoc" sheetId="47" r:id="rId47"/>
    <sheet name="page 47 Assoc" sheetId="48" r:id="rId48"/>
    <sheet name="page 48 Assoc" sheetId="49" r:id="rId49"/>
    <sheet name="page 49 Assoc" sheetId="50" r:id="rId50"/>
    <sheet name="page 50 Assoc" sheetId="51" r:id="rId51"/>
    <sheet name="page 51 Assoc" sheetId="52" r:id="rId52"/>
    <sheet name="page 52 GLOSSAIRE 1" sheetId="53" r:id="rId53"/>
    <sheet name="page 53 GLOSSAIRE 2" sheetId="54" r:id="rId54"/>
    <sheet name="page 54 ADRESSES UTILES" sheetId="55" r:id="rId55"/>
    <sheet name="page 55 POUR EN SAVOIR + 1" sheetId="56" r:id="rId56"/>
    <sheet name="page 56 POUR EN SAVOIR + 2" sheetId="57" r:id="rId57"/>
    <sheet name="4ème de COUVERTURE" sheetId="58" r:id="rId58"/>
  </sheets>
  <definedNames>
    <definedName name="N100BE" localSheetId="11">'page 11 Pauvreté '!#REF!</definedName>
    <definedName name="N100BE" localSheetId="16">'page 16 Pauvreté'!#REF!</definedName>
    <definedName name="N100BE" localSheetId="17">'page 17 pauvreté'!#REF!</definedName>
    <definedName name="N100BE" localSheetId="18">'page 18 Pauvreté'!#REF!</definedName>
    <definedName name="N100BE" localSheetId="19">'page 19 Pauvreté'!#REF!</definedName>
    <definedName name="N100BE" localSheetId="20">'page 20 Handicap'!#REF!</definedName>
    <definedName name="N100BE" localSheetId="21">'page 21 Handicap '!#REF!</definedName>
    <definedName name="N100BE" localSheetId="22">'page 22 Handicap '!#REF!</definedName>
    <definedName name="N100BE" localSheetId="36">'page 36 Enfance'!#REF!</definedName>
    <definedName name="_xlnm.Print_Area" localSheetId="21">'page 21 Handicap '!$A$1:$H$26</definedName>
    <definedName name="_xlnm.Print_Area" localSheetId="27">'page 27 Logement'!$A$1:$K$33</definedName>
    <definedName name="_xlnm.Print_Area" localSheetId="29">'page 29 Jeunesse'!$A$1:$H$27</definedName>
    <definedName name="_xlnm.Print_Area" localSheetId="35">'page 35 Enfance'!$A$1:$I$28</definedName>
    <definedName name="_xlnm.Print_Area" localSheetId="46">'page 46 Assoc'!$A$1:$H$26</definedName>
  </definedNames>
  <calcPr fullCalcOnLoad="1"/>
</workbook>
</file>

<file path=xl/sharedStrings.xml><?xml version="1.0" encoding="utf-8"?>
<sst xmlns="http://schemas.openxmlformats.org/spreadsheetml/2006/main" count="1541" uniqueCount="956">
  <si>
    <t>Institut National de la Santé et de la Recherche Médicale</t>
  </si>
  <si>
    <t>DARES</t>
  </si>
  <si>
    <t>DIRECCTE</t>
  </si>
  <si>
    <t>SOeS</t>
  </si>
  <si>
    <t>DEPP</t>
  </si>
  <si>
    <t>SCOLARITE, FORMATION, INSERTION</t>
  </si>
  <si>
    <t>Jeunes en contrat de professionnalisation</t>
  </si>
  <si>
    <t xml:space="preserve">  En emploi, y compris apprentissage (en %)</t>
  </si>
  <si>
    <t xml:space="preserve">  Au chômage (en %)</t>
  </si>
  <si>
    <t xml:space="preserve">Aides et compensations </t>
  </si>
  <si>
    <t xml:space="preserve">Mesures de PJ des majeurs vulnérables </t>
  </si>
  <si>
    <t>PROTECTION JURIDIQUE DES MAJEURS VULNERABLES</t>
  </si>
  <si>
    <t>(1) Uniquement services tutélaires</t>
  </si>
  <si>
    <t>ENFANCE, PROTECTION DE L'ENFANCE</t>
  </si>
  <si>
    <t>Protection de l'enfance</t>
  </si>
  <si>
    <t xml:space="preserve">DIPLOMES DELIVRES </t>
  </si>
  <si>
    <t>Créations d'associations pour 1000 hab</t>
  </si>
  <si>
    <t>Nb mesures pour 1000 hab. 18 ans et plus</t>
  </si>
  <si>
    <t>Sources : CNAF, MSA, Pôle Emploi, fichier national des ASSEDICS, CNAMTS, DREES</t>
  </si>
  <si>
    <t>Taux d'handicapés pour 100 élèves</t>
  </si>
  <si>
    <t xml:space="preserve">(2) ULIS :  Unités localisées pour l'inclusion scolaire </t>
  </si>
  <si>
    <t>URSSAF</t>
  </si>
  <si>
    <t>MSA</t>
  </si>
  <si>
    <t>Union de Recouvrement de la Sécurité Sociale et des Allocations Familiales</t>
  </si>
  <si>
    <t>Mutualité Sociale Agricole</t>
  </si>
  <si>
    <t>SAVS</t>
  </si>
  <si>
    <t>Service d'Accompagnement de la Vie Sociale</t>
  </si>
  <si>
    <t>SAMSAH</t>
  </si>
  <si>
    <t>Service d'Accompagnement Médico-Social des Adultes Handicapés</t>
  </si>
  <si>
    <t>Caisse nationale de l'assurance maladie des travailleurs salariés</t>
  </si>
  <si>
    <t xml:space="preserve">   Tx pour 100 personnes de 75 ans et plus</t>
  </si>
  <si>
    <t>garçons de 20-24 ans</t>
  </si>
  <si>
    <t>filles de 20-24 ans</t>
  </si>
  <si>
    <t>(3) Contrat Unique d'Insertion - Contrat d'Accompagnement dans l'Emploi</t>
  </si>
  <si>
    <t>(4) Contrat Unique d'Insertion - Contrat Initiative Emploi</t>
  </si>
  <si>
    <t>Taux d'équipement en lits et places (2)</t>
  </si>
  <si>
    <t xml:space="preserve">    dont exclusivement pour pers handicapées</t>
  </si>
  <si>
    <t>DREES</t>
  </si>
  <si>
    <t xml:space="preserve">   Fins de CDD</t>
  </si>
  <si>
    <t xml:space="preserve">   Fins de mission d'intérim</t>
  </si>
  <si>
    <t xml:space="preserve">   Licenciements économiques (1)</t>
  </si>
  <si>
    <t xml:space="preserve">   Démissions</t>
  </si>
  <si>
    <t xml:space="preserve">   Premières entrées</t>
  </si>
  <si>
    <t xml:space="preserve">   Reprises d'activité</t>
  </si>
  <si>
    <t xml:space="preserve">   Reprises d'emploi déclarées</t>
  </si>
  <si>
    <t xml:space="preserve">   Entrées en stage</t>
  </si>
  <si>
    <t xml:space="preserve">      dont maladies</t>
  </si>
  <si>
    <t xml:space="preserve">   Défauts d'actualisation</t>
  </si>
  <si>
    <t xml:space="preserve">   Radiations administratives</t>
  </si>
  <si>
    <t>Le directeur de la jeunesse, des sports et de la cohésion sociale</t>
  </si>
  <si>
    <t>des Pays de la Loire a le plaisir de vous adresser le</t>
  </si>
  <si>
    <t xml:space="preserve">présentant les principaux indicateurs et statistiques disponibles </t>
  </si>
  <si>
    <t>des domaines de la cohésion sociale, de la jeunesse et des sports</t>
  </si>
  <si>
    <t xml:space="preserve">nb logts suroccupés </t>
  </si>
  <si>
    <t>pour la région Pays de la Loire et ses cinq départements.</t>
  </si>
  <si>
    <t>Ce panorama statistique est consultable sur le site internet de la DRJSCS des Pays de la Loire</t>
  </si>
  <si>
    <t>www.pays-de-la-loire.drjscs.gouv.fr</t>
  </si>
  <si>
    <t>Contact : Elisabeth Gallard, tel : 02 40 12 87 09, email : elisabeth.gallard@drjscs.gouv.fr</t>
  </si>
  <si>
    <t>SOMMAIRE</t>
  </si>
  <si>
    <t>ADRESSES UTILES</t>
  </si>
  <si>
    <t>Maine-et-Loire</t>
  </si>
  <si>
    <r>
      <t>(1)</t>
    </r>
    <r>
      <rPr>
        <i/>
        <sz val="7"/>
        <color indexed="8"/>
        <rFont val="Calibri"/>
        <family val="2"/>
      </rPr>
      <t xml:space="preserve"> Provenant de ménages ne résidant pas dans le parc social HLM</t>
    </r>
  </si>
  <si>
    <r>
      <t>(2)</t>
    </r>
    <r>
      <rPr>
        <i/>
        <sz val="7"/>
        <color indexed="8"/>
        <rFont val="Calibri"/>
        <family val="2"/>
      </rPr>
      <t xml:space="preserve"> Provenant de ménages résidant dans le parc social HLM</t>
    </r>
  </si>
  <si>
    <t>AUTRES MINIMA SOCIAUX</t>
  </si>
  <si>
    <t>(2) Pour 1000 jeunes de moins de 20 ans</t>
  </si>
  <si>
    <t xml:space="preserve">        dont en ZUS</t>
  </si>
  <si>
    <t xml:space="preserve">  Elèves, étudiantes, stagiaires (en %)</t>
  </si>
  <si>
    <t xml:space="preserve">  Elèves, étudiants, stagiaires (en %)</t>
  </si>
  <si>
    <t xml:space="preserve">   25-49 ans</t>
  </si>
  <si>
    <t xml:space="preserve">   50 ans et plus</t>
  </si>
  <si>
    <t>Demandeurs (A, B, C) de moins d'un an</t>
  </si>
  <si>
    <t>Demandeurs (A, B, C) de 1 à 3 ans</t>
  </si>
  <si>
    <t>Demandeurs (A, B, C) de plus de 3 ans</t>
  </si>
  <si>
    <t xml:space="preserve">(1) demandeurs d'emploi (A, B, C) depuis plus d'un an </t>
  </si>
  <si>
    <t xml:space="preserve">   Bénéficiaires de la CMU complémentaire</t>
  </si>
  <si>
    <t>Population couverte par le RSA (2)</t>
  </si>
  <si>
    <t>IMMIGRATION</t>
  </si>
  <si>
    <t>Données générales</t>
  </si>
  <si>
    <t>Indicateurs démographiques</t>
  </si>
  <si>
    <t>Répartition par âge de la population</t>
  </si>
  <si>
    <t>Structure par âge de la population</t>
  </si>
  <si>
    <t>Allocataires du Revenu de Solidarité Active (RSA)</t>
  </si>
  <si>
    <t>Taux de chômage et indemnisation</t>
  </si>
  <si>
    <t>Scolarisation et formation des personnes handicapées</t>
  </si>
  <si>
    <t>Demandeurs d’emploi</t>
  </si>
  <si>
    <t>Demandeurs d’emploi de longue durée par sexe et par âge</t>
  </si>
  <si>
    <t>Entrées et sorties à Pôle Emploi par motif</t>
  </si>
  <si>
    <t>Dépenses d’aides sociales – Compétence du Conseil Général</t>
  </si>
  <si>
    <t>Dépenses d’aides sociales – Compétence de l’Etat</t>
  </si>
  <si>
    <t>Parc des logements et statut d’occupation</t>
  </si>
  <si>
    <t>Diplômes délivrés dans le champ du sport et de l’animation</t>
  </si>
  <si>
    <t>Diplômes délivrés dans le champ des formations sociales</t>
  </si>
  <si>
    <t>Parc locatif social</t>
  </si>
  <si>
    <t>Demande locative sociale</t>
  </si>
  <si>
    <t>Equipements d’hébergement social</t>
  </si>
  <si>
    <t>SPORTS</t>
  </si>
  <si>
    <t>Recours au Droit au Logement Opposable (DALO)</t>
  </si>
  <si>
    <t>Pratiques sportives</t>
  </si>
  <si>
    <t>JEUNESSE</t>
  </si>
  <si>
    <t>Le sport de haut niveau</t>
  </si>
  <si>
    <t>La jeunesse en Pays de la Loire</t>
  </si>
  <si>
    <t>Equipements sportifs</t>
  </si>
  <si>
    <t>Accueil des enfants d’âge préscolaire</t>
  </si>
  <si>
    <t>GLOSSAIRE des SIGLES et des INSTITUTIONS</t>
  </si>
  <si>
    <t>AVANT-PROPOS</t>
  </si>
  <si>
    <t>Autres minima sociaux</t>
  </si>
  <si>
    <t>Quartiers Zone urbaine sensible (ZUS)</t>
  </si>
  <si>
    <t>Revenus et inégalités de revenus</t>
  </si>
  <si>
    <r>
      <rPr>
        <b/>
        <i/>
        <sz val="7"/>
        <color indexed="8"/>
        <rFont val="Calibri"/>
        <family val="2"/>
      </rPr>
      <t xml:space="preserve">(2) </t>
    </r>
    <r>
      <rPr>
        <i/>
        <sz val="7"/>
        <color indexed="8"/>
        <rFont val="Calibri"/>
        <family val="2"/>
      </rPr>
      <t>Ecart relatif entre le niveau de vie médian de la population pauvre et le seuil de pauvreté. Plus cet indicateur est élevé, plus le niveau de vie des plus pauvres est bas</t>
    </r>
  </si>
  <si>
    <t>PAUVRETE et PRECARITE</t>
  </si>
  <si>
    <t>Intensité de la pauvreté monétaire (2)</t>
  </si>
  <si>
    <t>Diplôme supérieur en travail social / Ingénieur social (DEIS)</t>
  </si>
  <si>
    <t>Mobilité résidentielle au 1/1/2008 (3)</t>
  </si>
  <si>
    <t>Taux d'activité (4)</t>
  </si>
  <si>
    <t>(1) Y compris fins de conventions de conversion, de Projet d'Action Personnalisé (PAP) anticipés et de Convention de Reclassement Personnalisée (CRP)</t>
  </si>
  <si>
    <t>MEN</t>
  </si>
  <si>
    <t>PLAI</t>
  </si>
  <si>
    <t>PLUS</t>
  </si>
  <si>
    <t>DIPLÔMES DELIVRES dans le CHAMP du SPORT et de L’ANIMATION</t>
  </si>
  <si>
    <t>Niveau V</t>
  </si>
  <si>
    <r>
      <t xml:space="preserve">BAPAAT </t>
    </r>
    <r>
      <rPr>
        <sz val="6"/>
        <color indexed="8"/>
        <rFont val="Calibri"/>
        <family val="2"/>
      </rPr>
      <t>(Loisirs tout public, loisirs du jeune et de l'enfant, loisirs de pleine nature)</t>
    </r>
  </si>
  <si>
    <r>
      <t xml:space="preserve">BE </t>
    </r>
    <r>
      <rPr>
        <sz val="6"/>
        <color indexed="8"/>
        <rFont val="Calibri"/>
        <family val="2"/>
      </rPr>
      <t>Alpinisme - accompagnateur moyenne montagne</t>
    </r>
  </si>
  <si>
    <t xml:space="preserve">BAFA : Brevet d'Aptitude aux Fonctions d'Animateur </t>
  </si>
  <si>
    <t>TOTAL DIPLOMES DELIVRES</t>
  </si>
  <si>
    <t>Fonction d'encadrement et de responsable d'unité d'intervention sociale (CAFERUIS)</t>
  </si>
  <si>
    <t>Pays de la Loire*</t>
  </si>
  <si>
    <t>France** métropolitaine</t>
  </si>
  <si>
    <t xml:space="preserve">  Fédérations unisport olympiques</t>
  </si>
  <si>
    <t xml:space="preserve">  Fédérations unisport non olympiques</t>
  </si>
  <si>
    <t xml:space="preserve">  Fédérations multisports</t>
  </si>
  <si>
    <t xml:space="preserve">    Part des licences féminines (en %)</t>
  </si>
  <si>
    <t>Licences sportives pour 100 habitants</t>
  </si>
  <si>
    <t xml:space="preserve">  Part des femmes (en %)</t>
  </si>
  <si>
    <t>Garçons</t>
  </si>
  <si>
    <t xml:space="preserve">   Moins de 15 ans</t>
  </si>
  <si>
    <t xml:space="preserve">   De 15 à 24 ans</t>
  </si>
  <si>
    <t>Filles</t>
  </si>
  <si>
    <t>Ensemble</t>
  </si>
  <si>
    <t>LOGEMENT DES JEUNES</t>
  </si>
  <si>
    <t>Cohabitation familiale des jeunes de 20 à 24 ans</t>
  </si>
  <si>
    <t>Jeunes hommes vivant chez leurs parents</t>
  </si>
  <si>
    <t>Jeunes filles vivant chez leurs parents</t>
  </si>
  <si>
    <t xml:space="preserve">Jeunes habitant hors du domicile parental </t>
  </si>
  <si>
    <t>CONDUITES A RISQUES, MORTALITE</t>
  </si>
  <si>
    <t>Personnes majeures sous mesures de protection juridique (1)</t>
  </si>
  <si>
    <t>Nb communes concernées par un CUCS</t>
  </si>
  <si>
    <t>Bénéficiaires d'une PJM nouvelle (entrées)</t>
  </si>
  <si>
    <t>Consommation des garçons de 17 ans (%)</t>
  </si>
  <si>
    <t>Consommation des filles de 17 ans (%)</t>
  </si>
  <si>
    <t>Scolarité, formation, insertion</t>
  </si>
  <si>
    <t>Activité des jeunes</t>
  </si>
  <si>
    <t>LE SPORT de HAUT NIVEAU</t>
  </si>
  <si>
    <t xml:space="preserve">  Liste France Jeune</t>
  </si>
  <si>
    <t xml:space="preserve">  Liste Reconversion</t>
  </si>
  <si>
    <t xml:space="preserve">  Pôles France </t>
  </si>
  <si>
    <t xml:space="preserve">  Pôles Espoirs</t>
  </si>
  <si>
    <t>EQUIPEMENTS SPORTIFS</t>
  </si>
  <si>
    <r>
      <t xml:space="preserve">Equipements sportifs </t>
    </r>
    <r>
      <rPr>
        <b/>
        <sz val="6"/>
        <color indexed="8"/>
        <rFont val="Calibri"/>
        <family val="2"/>
      </rPr>
      <t xml:space="preserve">(hors sports de nature)   </t>
    </r>
  </si>
  <si>
    <t>EMPLOIS SALARIES dans des ACTIVITES ECONOMIQUES liées au SPORT</t>
  </si>
  <si>
    <t>Source : Pôle Emploi, statistique annuelle de l'emploi salarié</t>
  </si>
  <si>
    <t>INDICATEURS DEMOGRAPHIQUES</t>
  </si>
  <si>
    <t>Source : Pôle Emploi, DARES (Statistiques du marché du travail), DIRECCTE (traitement ESE)</t>
  </si>
  <si>
    <t>TAUX de CHÔMAGE et INDEMNISATION</t>
  </si>
  <si>
    <t xml:space="preserve">DEMANDEURS D'EMPLOI de LONGUE DUREE (plus d'un an) par SEXE et par AGE </t>
  </si>
  <si>
    <r>
      <t>(1)</t>
    </r>
    <r>
      <rPr>
        <i/>
        <sz val="7"/>
        <color indexed="8"/>
        <rFont val="Calibri"/>
        <family val="2"/>
      </rPr>
      <t xml:space="preserve"> Personnes étrangères nées à l’étranger et résidant en France, y compris celles d’entre elles qui sont devenues françaises par acquisition</t>
    </r>
  </si>
  <si>
    <t>adresse mel : drjscs44@drjscs.gouv.fr  - Site internet : www.pays-de-la-loire.drjscs.gouv.fr</t>
  </si>
  <si>
    <t xml:space="preserve">   Dont résidences principales</t>
  </si>
  <si>
    <t xml:space="preserve">   Dont résidences secondaires</t>
  </si>
  <si>
    <t>Taux de mobilité (2)</t>
  </si>
  <si>
    <t>Taux de vacance (3)</t>
  </si>
  <si>
    <t>POLITIQUE DE LA VILLE</t>
  </si>
  <si>
    <t>Sources : Insee (Clap), DRJSCS</t>
  </si>
  <si>
    <t xml:space="preserve">   Taux de pauvreté des enfants (0-19 ans)</t>
  </si>
  <si>
    <t>Sources : Académie, MEN/DEPP</t>
  </si>
  <si>
    <t>Etablissements d'aide sociale à l'enfance</t>
  </si>
  <si>
    <t xml:space="preserve">   Etablissements d'accueil mère-enfant</t>
  </si>
  <si>
    <t xml:space="preserve">   Pouponnières à caractère social</t>
  </si>
  <si>
    <t xml:space="preserve">   Foyers de l'enfance</t>
  </si>
  <si>
    <t xml:space="preserve">   Maisons d'enfants à caractère social</t>
  </si>
  <si>
    <t xml:space="preserve">   Centres de placement familial social</t>
  </si>
  <si>
    <t>TOTAL DEPENSES NETTES</t>
  </si>
  <si>
    <t xml:space="preserve">   Bénéficiaires % hab. de 20 à 64 ans</t>
  </si>
  <si>
    <t>Sources : DREES, CG</t>
  </si>
  <si>
    <t>Sources : DRJSCS, DDCS(PP)</t>
  </si>
  <si>
    <t>TOTAL DIPLOMES DELIVRES (1)</t>
  </si>
  <si>
    <t>PRATIQUES SPORTIVES</t>
  </si>
  <si>
    <t>CREATIONS D'ASSOCIATIONS</t>
  </si>
  <si>
    <t>Action caritative et humanitaire</t>
  </si>
  <si>
    <t>Action sociale et santé</t>
  </si>
  <si>
    <t>Défense des droits et des causes</t>
  </si>
  <si>
    <t>Education, formation, insertion</t>
  </si>
  <si>
    <t>Sport</t>
  </si>
  <si>
    <t>Culture</t>
  </si>
  <si>
    <t>Loisirs et vie sociale</t>
  </si>
  <si>
    <t>Autres</t>
  </si>
  <si>
    <t>ASSOCIATIONS EMPLOYEURS</t>
  </si>
  <si>
    <t>Agriculture, sylviculture et pêche</t>
  </si>
  <si>
    <t>Industrie, construction</t>
  </si>
  <si>
    <t xml:space="preserve">    dont enseignement</t>
  </si>
  <si>
    <t xml:space="preserve">    dont santé </t>
  </si>
  <si>
    <t xml:space="preserve">    dont action sociale</t>
  </si>
  <si>
    <t>EFFECTIFS SALARIES DANS LES  ASSOCIATIONS</t>
  </si>
  <si>
    <t xml:space="preserve">Salariés par activité économique </t>
  </si>
  <si>
    <t>Champ : postes de travail au 31 décembre (hors intérimaires et postes annexes)</t>
  </si>
  <si>
    <t xml:space="preserve">ETP par activité économique </t>
  </si>
  <si>
    <t>Source : Insee (Clap)</t>
  </si>
  <si>
    <t>Champ : postes de travail dans l'année en équivalent temps plein (hors intérimaires)</t>
  </si>
  <si>
    <t>POIDS DE L'ECONOMIE SOCIALE ET SOLIDAIRE DANS L'EMPLOI TOTAL</t>
  </si>
  <si>
    <t>(1) poids mesuré en ETP par rapport aux postes de travail dans l'année (hors intérimaires)</t>
  </si>
  <si>
    <t>POIDS DES REMUNERATIONS BRUTES DES ASSOCIATIONS DANS L'ENSEMBLE DES REMUNERATIONS</t>
  </si>
  <si>
    <t>Champ : rémunérations brutes versées dans l'année</t>
  </si>
  <si>
    <t>EMPLOIS EN EQUIVALENTS TEMPS PLEIN DANS LES  ASSOCIATIONS</t>
  </si>
  <si>
    <t>Année 2011</t>
  </si>
  <si>
    <t>Contrats urbains de cohésion sociale (CUCS)</t>
  </si>
  <si>
    <t>DONNEES GENERALES</t>
  </si>
  <si>
    <t xml:space="preserve">REVENUS ET INEGALITES DE REVENUS </t>
  </si>
  <si>
    <t xml:space="preserve">   résidant en quartier "politique de la ville" </t>
  </si>
  <si>
    <t xml:space="preserve">Nb équivalents temps plein (ETP) </t>
  </si>
  <si>
    <t xml:space="preserve">   Bénéficiaires de la PCH (2) et de </t>
  </si>
  <si>
    <t xml:space="preserve">Niveau de vie (3) annuel médian </t>
  </si>
  <si>
    <t>des personnes sous le seuil de pauvreté</t>
  </si>
  <si>
    <t xml:space="preserve">   dont allocataires RSA socle majoré</t>
  </si>
  <si>
    <t xml:space="preserve">   dont allocataires RSA socle non majoré</t>
  </si>
  <si>
    <t xml:space="preserve">   dont allocataires RSA activité seul</t>
  </si>
  <si>
    <t>nb élèves 1er degré</t>
  </si>
  <si>
    <t>nb élèves 2e degré</t>
  </si>
  <si>
    <t>nb élèves total</t>
  </si>
  <si>
    <t xml:space="preserve">   Individuel (temps plein ou non) (3)</t>
  </si>
  <si>
    <t xml:space="preserve">(3) assuré par les Auxiliaires de vie scolaire, personnel qui favorise l'accueil et la scolarisation des élèves handicapés </t>
  </si>
  <si>
    <t xml:space="preserve">et/ou les personnes en Emploi de Vie Scolaire (emplois aidés). </t>
  </si>
  <si>
    <t xml:space="preserve">   Collectif (3)</t>
  </si>
  <si>
    <t>Ensemble des éléves (public et privé ; handicapés ou non)</t>
  </si>
  <si>
    <t>Allocation Supplém. Vieillesse (ASV) et</t>
  </si>
  <si>
    <t xml:space="preserve">(1) Allocation chômage pour les demandeurs d'emploi ayant épuisé leurs droits à l'assurance chômage et justifiant d'au moins 5 années </t>
  </si>
  <si>
    <t>Nb d'élèves repérés comme handicapés</t>
  </si>
  <si>
    <t>Exercées par des  services mandataires</t>
  </si>
  <si>
    <t>Exercées par des mandataires physiques</t>
  </si>
  <si>
    <t xml:space="preserve">Ratio demandes satisfaites </t>
  </si>
  <si>
    <t xml:space="preserve">Centres Hébergement &amp; Réinsertion Sociale </t>
  </si>
  <si>
    <t>Part des ménages dépendants (4)</t>
  </si>
  <si>
    <t xml:space="preserve">Allocataires dépendants à 50% ou plus </t>
  </si>
  <si>
    <t xml:space="preserve">Couverture Maladie Universelle Complémentaire </t>
  </si>
  <si>
    <t xml:space="preserve">  PLAI (Prêt Locatif Aidé d'Intégration)</t>
  </si>
  <si>
    <t xml:space="preserve">  PLUS  (Prêt locatif à usage social)</t>
  </si>
  <si>
    <t>Logements ayant bénéficié d'aides à la location sociale</t>
  </si>
  <si>
    <t>Logements locatifs sociaux financés</t>
  </si>
  <si>
    <t>Taux d'équipement 16-25 ans (‰) (2)</t>
  </si>
  <si>
    <t xml:space="preserve">Part jeunes de 17 ans à faibles capacités </t>
  </si>
  <si>
    <t>Difficultés scolaires (1)</t>
  </si>
  <si>
    <t>Centres provisoires d'hébergement</t>
  </si>
  <si>
    <t>Moins de 25 ans dans la population</t>
  </si>
  <si>
    <t>Ensemble jeunes vivant chez leurs parents</t>
  </si>
  <si>
    <t xml:space="preserve">  Tabac quotidien (1)</t>
  </si>
  <si>
    <t xml:space="preserve">  Alcool régulier (2)</t>
  </si>
  <si>
    <t xml:space="preserve">  Cannabis régulier (2)</t>
  </si>
  <si>
    <t>(1) au moins une cigarette par jour</t>
  </si>
  <si>
    <t>(2) au moins dix usages dans le mois</t>
  </si>
  <si>
    <t>(1) Enseignements public et privé</t>
  </si>
  <si>
    <t>% diplômés sup chez 25-34 ans non étudiants</t>
  </si>
  <si>
    <t>% non-diplômés / 20-24 ans ni élèv. ni étud.</t>
  </si>
  <si>
    <t>Enseign. discipl. sportives et activités loisirs</t>
  </si>
  <si>
    <t>Fab. bicyclettes et véhicules pour invalides</t>
  </si>
  <si>
    <t>Commerce détail articles sport magasin spéc.</t>
  </si>
  <si>
    <t>Location, location-bail articles loisirs et sport</t>
  </si>
  <si>
    <r>
      <t>BPJEPS</t>
    </r>
    <r>
      <rPr>
        <sz val="7"/>
        <color indexed="8"/>
        <rFont val="Calibri"/>
        <family val="2"/>
      </rPr>
      <t xml:space="preserve"> </t>
    </r>
    <r>
      <rPr>
        <sz val="6"/>
        <color indexed="8"/>
        <rFont val="Calibri"/>
        <family val="2"/>
      </rPr>
      <t xml:space="preserve">(Activités équestres, activités gymniques de la forme et de la force, activités physiques </t>
    </r>
  </si>
  <si>
    <r>
      <t xml:space="preserve">              </t>
    </r>
    <r>
      <rPr>
        <sz val="6"/>
        <color indexed="8"/>
        <rFont val="Calibri"/>
        <family val="2"/>
      </rPr>
      <t>pour tous, animation culturelle, animation sociale, loisirs tous publics, sport automobile)</t>
    </r>
  </si>
  <si>
    <t>DIPLÔMES NON PROFESSIONNELS</t>
  </si>
  <si>
    <t>Commerce, transports, héberg. restauration</t>
  </si>
  <si>
    <t>Administration publique, enseignement,</t>
  </si>
  <si>
    <t xml:space="preserve"> santé humaine et action sociale</t>
  </si>
  <si>
    <t xml:space="preserve">Part des mutuelles, coopératives </t>
  </si>
  <si>
    <t>et fondations dans l'emploi total (1)</t>
  </si>
  <si>
    <t>Part des associations ds l'emploi total (1)</t>
  </si>
  <si>
    <t xml:space="preserve">Part rémunérations brutes des associations </t>
  </si>
  <si>
    <t>Direction Départementale de la Cohésion Sociale de Loire Atlantique – DDCS 44</t>
  </si>
  <si>
    <t>(1) recensement de la population</t>
  </si>
  <si>
    <t>Projection de la population en 2040</t>
  </si>
  <si>
    <t>25-54 ans</t>
  </si>
  <si>
    <t>Population de 26 à 64 ans</t>
  </si>
  <si>
    <t>Population de 65 ans et plus</t>
  </si>
  <si>
    <t>DEMOGRAPHIE</t>
  </si>
  <si>
    <t>Contrats urbains et ZUS</t>
  </si>
  <si>
    <t>CONTRATS URBAINS ET ZUS</t>
  </si>
  <si>
    <t>Direction départementale de la Cohésion Sociale du Maine et Loire – DDCS 49</t>
  </si>
  <si>
    <t>Sources : CNAF, MSA, DREES</t>
  </si>
  <si>
    <t>Sources : DRJSCS, DGCS</t>
  </si>
  <si>
    <t>Source : Inserm CepiDc, DREES, OFDT Enquête Escapad</t>
  </si>
  <si>
    <t>Source : Drees, Conseils Généraux, IRCEM</t>
  </si>
  <si>
    <t xml:space="preserve">   </t>
  </si>
  <si>
    <t>Source : DJEPVA-MEOS</t>
  </si>
  <si>
    <t>Emplois salariés dans des activités économiques liées au sport</t>
  </si>
  <si>
    <t>Direction Départementale de la Cohésion Sociale et de la Protection des Populations de la Mayenne – DDCSPP 53</t>
  </si>
  <si>
    <t>Direction départementale de la Cohésion Sociale de la Sarthe – DDCS 72</t>
  </si>
  <si>
    <t>Direction Départementale de la Cohésion Sociale de la Vendée – DDCS 85</t>
  </si>
  <si>
    <r>
      <t>(1)</t>
    </r>
    <r>
      <rPr>
        <i/>
        <sz val="7"/>
        <color indexed="8"/>
        <rFont val="Calibri"/>
        <family val="2"/>
      </rPr>
      <t xml:space="preserve"> HLM et autres bailleurs sociaux (sociétés immobilières d'économie mixte, État, collectivités locales et Ets publics) hors loi de 1948</t>
    </r>
  </si>
  <si>
    <r>
      <t>(2)</t>
    </r>
    <r>
      <rPr>
        <i/>
        <sz val="7"/>
        <color indexed="8"/>
        <rFont val="Calibri"/>
        <family val="2"/>
      </rPr>
      <t xml:space="preserve"> Nombre d'emménagements dans l'année sur le nombre de logements locatifs sociaux</t>
    </r>
  </si>
  <si>
    <r>
      <t>(3)</t>
    </r>
    <r>
      <rPr>
        <i/>
        <sz val="7"/>
        <color indexed="8"/>
        <rFont val="Calibri"/>
        <family val="2"/>
      </rPr>
      <t xml:space="preserve"> Part des logements non occupés</t>
    </r>
  </si>
  <si>
    <r>
      <t>(1)</t>
    </r>
    <r>
      <rPr>
        <i/>
        <sz val="7"/>
        <color indexed="8"/>
        <rFont val="Calibri"/>
        <family val="2"/>
      </rPr>
      <t xml:space="preserve"> Calculés sur le nombre de personnes passées par les places en insertion</t>
    </r>
  </si>
  <si>
    <t>DEFM en formation, conversion</t>
  </si>
  <si>
    <t>ou préretraite</t>
  </si>
  <si>
    <t>(3) Allocation spécifique de reclassement</t>
  </si>
  <si>
    <t xml:space="preserve">   En ULIS (2) (ex UPI)</t>
  </si>
  <si>
    <t>Part des logements suroccupés</t>
  </si>
  <si>
    <t>Logement des jeunes</t>
  </si>
  <si>
    <t>Conduites à risque, mortalité</t>
  </si>
  <si>
    <r>
      <t>(*)</t>
    </r>
    <r>
      <rPr>
        <i/>
        <sz val="7"/>
        <color indexed="8"/>
        <rFont val="Calibri"/>
        <family val="2"/>
      </rPr>
      <t xml:space="preserve"> y compris non répartis par département</t>
    </r>
  </si>
  <si>
    <r>
      <t>(**)</t>
    </r>
    <r>
      <rPr>
        <i/>
        <sz val="7"/>
        <color indexed="8"/>
        <rFont val="Calibri"/>
        <family val="2"/>
      </rPr>
      <t xml:space="preserve"> y compris non répartis par région</t>
    </r>
  </si>
  <si>
    <r>
      <t xml:space="preserve">02.40.12.80.00 / </t>
    </r>
    <r>
      <rPr>
        <u val="single"/>
        <sz val="7"/>
        <color indexed="8"/>
        <rFont val="Calibri"/>
        <family val="2"/>
      </rPr>
      <t>ddcs-directeur@loire-atlantique.gouv.fr</t>
    </r>
  </si>
  <si>
    <t xml:space="preserve">   Bénéficiaires de l'AEEH (1)</t>
  </si>
  <si>
    <t>(2) Prestation de Compensation Handicap</t>
  </si>
  <si>
    <t>(3) Allocation de Compensation pour une Tierce Personne</t>
  </si>
  <si>
    <t>Ménages dont la personne de référence</t>
  </si>
  <si>
    <t>a moins de 25 ans</t>
  </si>
  <si>
    <t xml:space="preserve">    dont ménages d'une seule personne (%)</t>
  </si>
  <si>
    <t xml:space="preserve">    dont ménages de deux personnes (%)</t>
  </si>
  <si>
    <t>(1) CLIS : Classe d’inclusion scolaire dans le premier degré</t>
  </si>
  <si>
    <t>Scolarisation des élèves handicapés</t>
  </si>
  <si>
    <t xml:space="preserve">   En classes ordinaires</t>
  </si>
  <si>
    <t xml:space="preserve">   En CLIS (1)</t>
  </si>
  <si>
    <t>France Métropolitaine + DOM</t>
  </si>
  <si>
    <t>Cadres de santé</t>
  </si>
  <si>
    <t>Puéricultrices</t>
  </si>
  <si>
    <t>Infirmiers anesthésistes</t>
  </si>
  <si>
    <t>Economie, développement local, tourisme</t>
  </si>
  <si>
    <t>nd</t>
  </si>
  <si>
    <t>Techniciens en analyse biomédicale</t>
  </si>
  <si>
    <t>Sages femmes</t>
  </si>
  <si>
    <t>Infirmiers</t>
  </si>
  <si>
    <t>Pédicures - podologues</t>
  </si>
  <si>
    <t>Psychomotriciens</t>
  </si>
  <si>
    <t>Ergothérapeutes</t>
  </si>
  <si>
    <t>Manipulateurs électro-radiologie</t>
  </si>
  <si>
    <t>Masseurs-kinésithérapeutes</t>
  </si>
  <si>
    <t>Niveau III</t>
  </si>
  <si>
    <t>Auxiliaire de puériculture</t>
  </si>
  <si>
    <t>Aide-soignant</t>
  </si>
  <si>
    <t>Ambulancier</t>
  </si>
  <si>
    <t xml:space="preserve"> </t>
  </si>
  <si>
    <t>Directeur d'établissement ou de service d'intervention sociale (CAFDES)</t>
  </si>
  <si>
    <t>Niveau I</t>
  </si>
  <si>
    <t>Médiateur familial</t>
  </si>
  <si>
    <t>Niveau II</t>
  </si>
  <si>
    <t>Conseiller en économie sociale familiale</t>
  </si>
  <si>
    <t>Educateur technique spécialisé</t>
  </si>
  <si>
    <t>Educateur de jeunes enfants</t>
  </si>
  <si>
    <t>Educateur spécialisé</t>
  </si>
  <si>
    <t>Assistant de service social</t>
  </si>
  <si>
    <t>Moniteur éducateur</t>
  </si>
  <si>
    <t>Technicien de l'intervention sociale et familiale</t>
  </si>
  <si>
    <t>Niveau IV</t>
  </si>
  <si>
    <t xml:space="preserve">Assistant familial  </t>
  </si>
  <si>
    <t>Auxiliaire de vie sociale</t>
  </si>
  <si>
    <r>
      <t>Prêt Locatif à Usage Social qui</t>
    </r>
    <r>
      <rPr>
        <b/>
        <sz val="7"/>
        <color indexed="8"/>
        <rFont val="Calibri"/>
        <family val="2"/>
      </rPr>
      <t xml:space="preserve"> </t>
    </r>
    <r>
      <rPr>
        <sz val="7"/>
        <color indexed="8"/>
        <rFont val="Calibri"/>
        <family val="2"/>
      </rPr>
      <t>permet aux organismes de logement social et aux sociétés d'économie mixte  de financer l'achat de terrain et la construction de logements neufs, l'acquisition-amélioration de logements anciens et l a transformation de locaux divers, avec ou sans acquisition, en logements locatifs.</t>
    </r>
  </si>
  <si>
    <r>
      <t xml:space="preserve">02.41.72.47.20 / </t>
    </r>
    <r>
      <rPr>
        <u val="single"/>
        <sz val="7"/>
        <color indexed="8"/>
        <rFont val="Calibri"/>
        <family val="2"/>
      </rPr>
      <t>ddcs-directeur@maine-et-loire.gouv.fr</t>
    </r>
  </si>
  <si>
    <r>
      <t xml:space="preserve">02.43.67.27.30 / </t>
    </r>
    <r>
      <rPr>
        <u val="single"/>
        <sz val="7"/>
        <color indexed="8"/>
        <rFont val="Calibri"/>
        <family val="2"/>
      </rPr>
      <t>ddcspp-directeur@mayenne.gouv.fr</t>
    </r>
  </si>
  <si>
    <r>
      <t xml:space="preserve">02.43.14.60.00 / </t>
    </r>
    <r>
      <rPr>
        <u val="single"/>
        <sz val="7"/>
        <color indexed="8"/>
        <rFont val="Calibri"/>
        <family val="2"/>
      </rPr>
      <t>ddcs@sarthe.gouv.fr</t>
    </r>
  </si>
  <si>
    <r>
      <t>02.51.36.75.00 /</t>
    </r>
    <r>
      <rPr>
        <u val="single"/>
        <sz val="7"/>
        <color indexed="8"/>
        <rFont val="Calibri"/>
        <family val="2"/>
      </rPr>
      <t xml:space="preserve"> ddcs@vendee.gouv.fr</t>
    </r>
  </si>
  <si>
    <t>Aide médico-psychologique</t>
  </si>
  <si>
    <t>BAFD : Brevet d'Aptitude aux Fonctions de Directeur</t>
  </si>
  <si>
    <t xml:space="preserve">BP JEPS : Brevet Professionnel de la Jeunesse, de l'Éducation Populaire et du Sport </t>
  </si>
  <si>
    <t>BEES : Brevet d'État d'Éducateur Sportif</t>
  </si>
  <si>
    <t>DES JEPS : Diplôme d'État Supérieur de la Jeunesse, de l'Éducation Populaire et du Sport</t>
  </si>
  <si>
    <t>BAPAAT : Brevet d'Aptitude Professionnelle d'Assistant Animateur Technicien</t>
  </si>
  <si>
    <t>DE JEPS : Diplôme d'État de la Jeunesse, de l'Éducation Populaire et du Sport</t>
  </si>
  <si>
    <t>DEFA : Diplôme d'État relatif aux Fonctions d'Animation</t>
  </si>
  <si>
    <t>BAFD</t>
  </si>
  <si>
    <t>BAFA</t>
  </si>
  <si>
    <t>DEFA</t>
  </si>
  <si>
    <t>Jeunes-filles de 15 à 19 ans</t>
  </si>
  <si>
    <t>Jeunes-hommes de 15 à 19 ans</t>
  </si>
  <si>
    <t>Jeunes-filles de 20 à 24 ans</t>
  </si>
  <si>
    <t>Jeunes-hommes de 20 à 24 ans</t>
  </si>
  <si>
    <t>DSN</t>
  </si>
  <si>
    <t>Direction du Service National</t>
  </si>
  <si>
    <t>DREAL</t>
  </si>
  <si>
    <t>Direction Régionale des Entreprises, de la Concurrence, de la Consommation, du Travail et de l’Emploi</t>
  </si>
  <si>
    <t>Direction Régionale de l'Environnement, de l'Aménagement et du Logement</t>
  </si>
  <si>
    <t xml:space="preserve">ACTIVITE DES JEUNES DE 15 A 24 ANS </t>
  </si>
  <si>
    <t>(4) Allocation personnalisée d'autonomie</t>
  </si>
  <si>
    <t>Personnes de 18 ans et plus</t>
  </si>
  <si>
    <t xml:space="preserve">   1er décile (D1) </t>
  </si>
  <si>
    <t xml:space="preserve">   9e décile (D9) </t>
  </si>
  <si>
    <t>Source : INSEE, estimation de population au 1er janvier</t>
  </si>
  <si>
    <t>Statut d'occupation des résidences principales</t>
  </si>
  <si>
    <t xml:space="preserve">      Part des résidences secondaires (1)</t>
  </si>
  <si>
    <t>Prix du m² loué</t>
  </si>
  <si>
    <t>Nombre de recours en vue d'un logement</t>
  </si>
  <si>
    <t>Non examinés</t>
  </si>
  <si>
    <t>Examinés</t>
  </si>
  <si>
    <t xml:space="preserve">   Dont favorables</t>
  </si>
  <si>
    <t xml:space="preserve">   Dont rejets</t>
  </si>
  <si>
    <t xml:space="preserve">   Dont sans objet</t>
  </si>
  <si>
    <t xml:space="preserve">   Dont réorientation</t>
  </si>
  <si>
    <t>INSEE</t>
  </si>
  <si>
    <r>
      <t>DRJSCS des Pays de la Loire</t>
    </r>
    <r>
      <rPr>
        <sz val="10"/>
        <rFont val="Calibri"/>
        <family val="2"/>
      </rPr>
      <t xml:space="preserve"> : Man -  9 rue René Viviani - CS 46 205 - 44262 NANTES Cedex 2</t>
    </r>
  </si>
  <si>
    <t>Source : INSEE</t>
  </si>
  <si>
    <t xml:space="preserve">   Crèches collectives (parentales inclues)</t>
  </si>
  <si>
    <t xml:space="preserve">   Haltes-garderies</t>
  </si>
  <si>
    <t xml:space="preserve">   Multi-accueil</t>
  </si>
  <si>
    <t xml:space="preserve">   Garde d'enfants à domicile</t>
  </si>
  <si>
    <t xml:space="preserve">   Autres (1)</t>
  </si>
  <si>
    <t>Dispositifs d'accompagnement</t>
  </si>
  <si>
    <t>VIE ASSOCIATIVE</t>
  </si>
  <si>
    <t>Recettes (récupérations)</t>
  </si>
  <si>
    <t>PERSONNES AGEES</t>
  </si>
  <si>
    <t>PERSONNES HANDICAPEES</t>
  </si>
  <si>
    <t>FAMILLE ET ENFANCE</t>
  </si>
  <si>
    <t>SERVICES COMMUNS</t>
  </si>
  <si>
    <t>AUTRES INTERVENTIONS SOCIALES</t>
  </si>
  <si>
    <t>Recettes (recouvrement d'indus)</t>
  </si>
  <si>
    <t>Recettes (2)</t>
  </si>
  <si>
    <t>(1) SAVS, SAMSAH…</t>
  </si>
  <si>
    <t>TOTAL DEPENSES BRUTES</t>
  </si>
  <si>
    <t>Recettes (récupérations, recouvrements…)</t>
  </si>
  <si>
    <t xml:space="preserve">   Bénéficiaires de l'AAH</t>
  </si>
  <si>
    <t>ACCUEILS COLLECTIFS DE MINEURS AVEC HEBERGEMENT</t>
  </si>
  <si>
    <t xml:space="preserve">   dont mineurs de moins de 6 ans</t>
  </si>
  <si>
    <t xml:space="preserve">   dont mineurs de 6 à 11 ans</t>
  </si>
  <si>
    <t xml:space="preserve">   dont mineurs de 12 à 17 ans</t>
  </si>
  <si>
    <t xml:space="preserve">   dont séjours d'au moins 5 jours</t>
  </si>
  <si>
    <t>Nombre de mineurs accueillis</t>
  </si>
  <si>
    <t xml:space="preserve">Nombre de séjours </t>
  </si>
  <si>
    <t xml:space="preserve">  Liste Elite</t>
  </si>
  <si>
    <t xml:space="preserve">  Liste Sénior</t>
  </si>
  <si>
    <t>Total sportifs en listes</t>
  </si>
  <si>
    <t>Prêt Locatif Aidé d’Intégration destiné à financer la construction, l’acquisition et l’amélioration de logements loués à des personnes cumulant des ressources faibles et des difficultés sociales et pouvant nécessiter de ce fait d’un accompagnement spécifique.</t>
  </si>
  <si>
    <t>Taux équipement en centre d'hébergement (2) (en ‰)</t>
  </si>
  <si>
    <r>
      <t>(2)</t>
    </r>
    <r>
      <rPr>
        <i/>
        <sz val="7"/>
        <color indexed="8"/>
        <rFont val="Calibri"/>
        <family val="2"/>
      </rPr>
      <t xml:space="preserve"> Rapport interdécile (D9/D1) entre le revenu minimal des 10 % de ménages les plus riches et le revenu maximal des 10 % les plus pauvres</t>
    </r>
  </si>
  <si>
    <t xml:space="preserve">   Disparité des revenus (2)</t>
  </si>
  <si>
    <t>Niveau de vie des personnes (3)</t>
  </si>
  <si>
    <r>
      <t>1 Unité de consommation (UC) pour le 1</t>
    </r>
    <r>
      <rPr>
        <i/>
        <vertAlign val="superscript"/>
        <sz val="7"/>
        <color indexed="8"/>
        <rFont val="Calibri"/>
        <family val="2"/>
      </rPr>
      <t>er</t>
    </r>
    <r>
      <rPr>
        <i/>
        <sz val="7"/>
        <color indexed="8"/>
        <rFont val="Calibri"/>
        <family val="2"/>
      </rPr>
      <t xml:space="preserve"> adulte, 0,5 pour les autres personnes de 14 ans ou plus, et 0,3 UC par enfant de moins de 14 ans</t>
    </r>
  </si>
  <si>
    <t xml:space="preserve">  Disparité des niveaux de vie  (4)</t>
  </si>
  <si>
    <t xml:space="preserve">   Revenu médian (€)</t>
  </si>
  <si>
    <r>
      <t xml:space="preserve">(1) </t>
    </r>
    <r>
      <rPr>
        <i/>
        <sz val="7"/>
        <color indexed="8"/>
        <rFont val="Calibri"/>
        <family val="2"/>
      </rPr>
      <t>Somme de tous les revenus du ménage moins les impôts directs et les prélèvements sociaux</t>
    </r>
  </si>
  <si>
    <t xml:space="preserve">Revenu disponible des ménages (1) </t>
  </si>
  <si>
    <r>
      <t>(4)</t>
    </r>
    <r>
      <rPr>
        <i/>
        <sz val="7"/>
        <color indexed="8"/>
        <rFont val="Calibri"/>
        <family val="2"/>
      </rPr>
      <t xml:space="preserve"> Rapport interdécile (D9/D1) entre le niveau de vie minimal des 10 % les plus riches et le niveau de vie maximal des 10 % les plus pauvres</t>
    </r>
  </si>
  <si>
    <t xml:space="preserve">  Niveau de vie médian (€)</t>
  </si>
  <si>
    <t>(3) Mobilité résidentielle inter-départementale des 18 - 39 ans pour 10 000 habitants entre 2003 et 2008</t>
  </si>
  <si>
    <r>
      <t>BEES 1</t>
    </r>
    <r>
      <rPr>
        <b/>
        <vertAlign val="superscript"/>
        <sz val="7"/>
        <color indexed="8"/>
        <rFont val="Calibri"/>
        <family val="2"/>
      </rPr>
      <t>er</t>
    </r>
    <r>
      <rPr>
        <b/>
        <sz val="7"/>
        <color indexed="8"/>
        <rFont val="Calibri"/>
        <family val="2"/>
      </rPr>
      <t xml:space="preserve"> degré</t>
    </r>
    <r>
      <rPr>
        <sz val="7"/>
        <color indexed="8"/>
        <rFont val="Calibri"/>
        <family val="2"/>
      </rPr>
      <t xml:space="preserve"> </t>
    </r>
    <r>
      <rPr>
        <sz val="6"/>
        <color indexed="8"/>
        <rFont val="Calibri"/>
        <family val="2"/>
      </rPr>
      <t>(Activités de la natation, football, handball, judo)</t>
    </r>
  </si>
  <si>
    <r>
      <t xml:space="preserve">DEJEPS </t>
    </r>
    <r>
      <rPr>
        <sz val="6"/>
        <color indexed="8"/>
        <rFont val="Calibri"/>
        <family val="2"/>
      </rPr>
      <t>(Badminton, handball, karaté, judo, tennis, animation socio-éducative ou culturelle)</t>
    </r>
  </si>
  <si>
    <r>
      <t>BEES 2</t>
    </r>
    <r>
      <rPr>
        <b/>
        <vertAlign val="superscript"/>
        <sz val="7"/>
        <color indexed="8"/>
        <rFont val="Calibri"/>
        <family val="2"/>
      </rPr>
      <t>ème</t>
    </r>
    <r>
      <rPr>
        <b/>
        <sz val="7"/>
        <color indexed="8"/>
        <rFont val="Calibri"/>
        <family val="2"/>
      </rPr>
      <t xml:space="preserve"> degré </t>
    </r>
    <r>
      <rPr>
        <sz val="6"/>
        <color indexed="8"/>
        <rFont val="Calibri"/>
        <family val="2"/>
      </rPr>
      <t>(Equitation, football, karaté)</t>
    </r>
  </si>
  <si>
    <r>
      <t xml:space="preserve">DESJEPS </t>
    </r>
    <r>
      <rPr>
        <sz val="6"/>
        <color indexed="8"/>
        <rFont val="Calibri"/>
        <family val="2"/>
      </rPr>
      <t>(Animation socio-éducative ou culturelle - direction de structure)</t>
    </r>
  </si>
  <si>
    <t>Année 2010</t>
  </si>
  <si>
    <t>Créations d'associations</t>
  </si>
  <si>
    <t>Associations employeurs</t>
  </si>
  <si>
    <t>Effectifs salariés dans les associations</t>
  </si>
  <si>
    <t>Emplois en équivalent temps plein dans les associations</t>
  </si>
  <si>
    <t>Poids de l'économie sociale et solidaire dans l'emploi total</t>
  </si>
  <si>
    <t xml:space="preserve">   Taux couverture CMUc pour 100 habitants</t>
  </si>
  <si>
    <t>Poids des rémunérations brutes des associations dans l'ensemble des rémunérations</t>
  </si>
  <si>
    <t xml:space="preserve">   dont 1er Degré</t>
  </si>
  <si>
    <t xml:space="preserve">   dont 2nd Degré</t>
  </si>
  <si>
    <t>Nombre de sportifs de haut niveau</t>
  </si>
  <si>
    <t>Partenaires d'entrainement</t>
  </si>
  <si>
    <t>Liste Espoir</t>
  </si>
  <si>
    <t xml:space="preserve">Equipements sportifs de nature </t>
  </si>
  <si>
    <t>Ensemble des équipements sportifs</t>
  </si>
  <si>
    <t xml:space="preserve">   et diverses allocations et prestations</t>
  </si>
  <si>
    <t xml:space="preserve">   CHRS</t>
  </si>
  <si>
    <t xml:space="preserve">   Hébergement pers. âgées et handicapées</t>
  </si>
  <si>
    <t xml:space="preserve">   Hébergement d'urgence</t>
  </si>
  <si>
    <t xml:space="preserve">   Centre Provisoire d'Hébergement</t>
  </si>
  <si>
    <t xml:space="preserve">  Tutelles et curatelles</t>
  </si>
  <si>
    <t xml:space="preserve">   Centre Accueil Demandeurs d'Asile</t>
  </si>
  <si>
    <t xml:space="preserve">   dont Aide à domicile</t>
  </si>
  <si>
    <t>M.A.N Beaulieu – 9 Rue René Viviani – CS 86227 – 44262 NANTES Cedex 2</t>
  </si>
  <si>
    <t>http://www.loire-atlantique.gouv.fr</t>
  </si>
  <si>
    <t>Cité administrative – Bat C – 15 Bis Rue Dupetit Thouars – 49047 ANGERS Cedex 01</t>
  </si>
  <si>
    <t>http://www.maine-et-loire.gouv.fr</t>
  </si>
  <si>
    <t>http://www.mayenne.gouv.fr</t>
  </si>
  <si>
    <t>Cité Administrative – 60 Rue Mac Donald – BP 93007 – 53063 LAVAL Cedex 9</t>
  </si>
  <si>
    <t>57 Boulevard Demorieux – CS 51912 – 72019 LE MANS Cedex 2</t>
  </si>
  <si>
    <t>http://www.sarthe.gouv.fr</t>
  </si>
  <si>
    <t>29 Rue Delille – CS 20002 – 85023 LA ROCHE-SUR-YON Cedex</t>
  </si>
  <si>
    <t>http://www.vendee.gouv.fr</t>
  </si>
  <si>
    <t xml:space="preserve">   dont APA à domicile</t>
  </si>
  <si>
    <t xml:space="preserve">   dont APA en Ets</t>
  </si>
  <si>
    <t xml:space="preserve">   dont Hébergement en Ets ou accueil familial</t>
  </si>
  <si>
    <t xml:space="preserve">   dont Alloc compensatrice</t>
  </si>
  <si>
    <t xml:space="preserve">   dont Hébergement</t>
  </si>
  <si>
    <t xml:space="preserve">   dont Service d'accompagnement (1)</t>
  </si>
  <si>
    <t>ACCOMPAGNEMENT des PERSONNES HANDICAPEES ou DEPENDANTES</t>
  </si>
  <si>
    <t>(1) Allocation pour l'Education des Enfants Handicapés, données CNAF uniquement</t>
  </si>
  <si>
    <t>Sorties de PJM</t>
  </si>
  <si>
    <t xml:space="preserve">   dont par main-levée ou décès</t>
  </si>
  <si>
    <t>Accompagnement des personnes handicapées ou dépendantes</t>
  </si>
  <si>
    <t>Gestion d'installations sportives</t>
  </si>
  <si>
    <t>Activités de clubs de sports</t>
  </si>
  <si>
    <t>Activités des centres de culture physique</t>
  </si>
  <si>
    <t>Autres activités liées au sport</t>
  </si>
  <si>
    <t>Total secteur sport</t>
  </si>
  <si>
    <t>Construction de bateaux de plaisance</t>
  </si>
  <si>
    <t>Fabrication d'articles de sport</t>
  </si>
  <si>
    <t xml:space="preserve">Total filière sport </t>
  </si>
  <si>
    <t>s : secret statistique</t>
  </si>
  <si>
    <t>Maisons relais</t>
  </si>
  <si>
    <t>Moins de 6 ans</t>
  </si>
  <si>
    <t xml:space="preserve">   Assistantes maternelles agréées</t>
  </si>
  <si>
    <t>(1) Logements occasionnels inclus</t>
  </si>
  <si>
    <t xml:space="preserve">   dont collectif</t>
  </si>
  <si>
    <t xml:space="preserve">   dont individuel</t>
  </si>
  <si>
    <t xml:space="preserve">   Moins de 25 ans</t>
  </si>
  <si>
    <t xml:space="preserve">   25 à 49 ans</t>
  </si>
  <si>
    <t xml:space="preserve">   50 ans ou plus</t>
  </si>
  <si>
    <t xml:space="preserve">   Autres licenciements</t>
  </si>
  <si>
    <t xml:space="preserve">   Autres cas</t>
  </si>
  <si>
    <t xml:space="preserve">   Arrêts de recherche (maternité, retraite...)</t>
  </si>
  <si>
    <t>ENTREES et SORTIES à PÔLE EMPLOI par MOTIF</t>
  </si>
  <si>
    <t xml:space="preserve">   dont Alloc. de Retour à l'Emploi (ARE)</t>
  </si>
  <si>
    <t xml:space="preserve">   dont Alloc. Spécifique de Solidarité (ASS)</t>
  </si>
  <si>
    <t>PARC DES LOGEMENTS et STATUT D'OCCUPATION</t>
  </si>
  <si>
    <t xml:space="preserve">      Part des ménages propriétaires</t>
  </si>
  <si>
    <t>Jeunes de 16 à 25 ans</t>
  </si>
  <si>
    <t>Nombre total de logements</t>
  </si>
  <si>
    <t>Propriétaires</t>
  </si>
  <si>
    <t>Locataires</t>
  </si>
  <si>
    <t>Logés gratuitement</t>
  </si>
  <si>
    <t>SCOLARISATION et FORMATION des PERSONNES HANDICAPEES</t>
  </si>
  <si>
    <t>(2) Demandeurs d'emploi en fin de mois</t>
  </si>
  <si>
    <t>Champ : DEFM tenus de faire des actes positifs de recherche d'emploi, des catégories A, B ou C</t>
  </si>
  <si>
    <t>Nombre de communes</t>
  </si>
  <si>
    <t>Loire-Atlantique</t>
  </si>
  <si>
    <t xml:space="preserve">     Maine et Loire</t>
  </si>
  <si>
    <t>Mayenne</t>
  </si>
  <si>
    <t>Sarthe</t>
  </si>
  <si>
    <t>Vendée</t>
  </si>
  <si>
    <t>Pays de 
la Loire</t>
  </si>
  <si>
    <t>France métropolitaine</t>
  </si>
  <si>
    <t>Total</t>
  </si>
  <si>
    <t>DEMANDEURS D'EMPLOI</t>
  </si>
  <si>
    <t>Loire -Atlantique</t>
  </si>
  <si>
    <t>Maine et Loire</t>
  </si>
  <si>
    <t>Pays de la Loire</t>
  </si>
  <si>
    <t>Superficie en km²</t>
  </si>
  <si>
    <t xml:space="preserve">    Maine et Loire</t>
  </si>
  <si>
    <t>France Métropolitaine</t>
  </si>
  <si>
    <t>Natalité/Mortalité/Fécondité</t>
  </si>
  <si>
    <t xml:space="preserve">en  ‰ </t>
  </si>
  <si>
    <t>Demandeurs de catégorie A</t>
  </si>
  <si>
    <t>TOTAL (catégories A,B ou C)</t>
  </si>
  <si>
    <t>Total des DE de longue durée (1)</t>
  </si>
  <si>
    <r>
      <t>(3)</t>
    </r>
    <r>
      <rPr>
        <i/>
        <sz val="7"/>
        <color indexed="8"/>
        <rFont val="Calibri"/>
        <family val="2"/>
      </rPr>
      <t xml:space="preserve"> Le niveau de vie correspond au revenu annuel disponible du ménage (net d’impôts) divisé par le nombre d’unités de consommation</t>
    </r>
  </si>
  <si>
    <t>Allocation de Solidarité Spécifique (1)</t>
  </si>
  <si>
    <t>complémentaires</t>
  </si>
  <si>
    <t>Formations</t>
  </si>
  <si>
    <t xml:space="preserve">   Taux pour 1000 personnes de 20 à 64 ans</t>
  </si>
  <si>
    <t xml:space="preserve">   Taux pour 1000 personnes de 60 ans et plus</t>
  </si>
  <si>
    <t>PAUVRETE - CHOMAGE - EXCLUSION</t>
  </si>
  <si>
    <t>Pauvreté et précarité</t>
  </si>
  <si>
    <t>HANDICAP - DEPENDANCE</t>
  </si>
  <si>
    <t>Protection juridique des majeurs vulnérables</t>
  </si>
  <si>
    <t>LOGEMENT - HEBERGEMENT</t>
  </si>
  <si>
    <t>A la naissance pour les hommes</t>
  </si>
  <si>
    <t>A la naissance pour les femmes</t>
  </si>
  <si>
    <t>REPARTITION PAR AGE DE LA POPULATION</t>
  </si>
  <si>
    <t>Moins de 5 ans</t>
  </si>
  <si>
    <t>5-9 ans</t>
  </si>
  <si>
    <t>10-14 ans</t>
  </si>
  <si>
    <t>15-19 ans</t>
  </si>
  <si>
    <t>20-24 ans</t>
  </si>
  <si>
    <t>55-59 ans</t>
  </si>
  <si>
    <t>60-64 ans</t>
  </si>
  <si>
    <t>65-74 ans</t>
  </si>
  <si>
    <t>75-84 ans</t>
  </si>
  <si>
    <t>85 ans et plus</t>
  </si>
  <si>
    <t>ENSEMBLE</t>
  </si>
  <si>
    <t>Population de 75 ans et plus</t>
  </si>
  <si>
    <t>Population de 80 ans et plus</t>
  </si>
  <si>
    <t>Femmes de 15 à 49 ans</t>
  </si>
  <si>
    <t>STRUCTURE PAR AGE DE LA POPULATION</t>
  </si>
  <si>
    <t>HOMMES</t>
  </si>
  <si>
    <t>FEMMES</t>
  </si>
  <si>
    <t>PARC LOCATIF SOCIAL</t>
  </si>
  <si>
    <t xml:space="preserve">   Dont d'un logement HLM loué vide</t>
  </si>
  <si>
    <t xml:space="preserve">   Bénéficiaires % hab. de 0 à 19 ans</t>
  </si>
  <si>
    <t>LA JEUNESSE EN PAYS DE LA LOIRE</t>
  </si>
  <si>
    <t>Accueil collectif</t>
  </si>
  <si>
    <t>Infirmiers de bloc opératoire</t>
  </si>
  <si>
    <t xml:space="preserve">Etablissements associatifs employeurs </t>
  </si>
  <si>
    <t>Etablissements employeurs par activité économique</t>
  </si>
  <si>
    <t>Champ : établissements associatifs ayant eu au moins un salarié dans l'année (hors intérimaires)</t>
  </si>
  <si>
    <t>Nb de salariés des établissements associatifs</t>
  </si>
  <si>
    <t xml:space="preserve"> (1)  Le RSA assure un minimum social (RSA socle) et un complément de revenu pour des travailleurs aux revenus modestes (RSA activité)</t>
  </si>
  <si>
    <t>(2) L’allocataire, son conjoint, les enfants et autres personnes à charge au sens des prestations familiales, y c RSA jeunes</t>
  </si>
  <si>
    <t>d'activité salariée dans les dix ans précédent la rupture de contrat - Données semi-définitives</t>
  </si>
  <si>
    <t>Taux d'équipement en accueil collectif (1)</t>
  </si>
  <si>
    <t>PROTECTION DE L'ENFANCE</t>
  </si>
  <si>
    <t>TOTAL</t>
  </si>
  <si>
    <t>Population totale :</t>
  </si>
  <si>
    <t>Naissances domiciliées :</t>
  </si>
  <si>
    <t>Décès domiciliés :</t>
  </si>
  <si>
    <t>A 60 ans pour les hommes</t>
  </si>
  <si>
    <t>A 60 ans pour les femmes</t>
  </si>
  <si>
    <t>Dû au mouvement naturel</t>
  </si>
  <si>
    <t>Dû au mouvement migratoire</t>
  </si>
  <si>
    <t>Enfants de 6 à 16 ans</t>
  </si>
  <si>
    <t>En milliers d'euros</t>
  </si>
  <si>
    <t>DEPENSES D'AIDE SOCIALE - COMPETENCE DE L'ETAT</t>
  </si>
  <si>
    <t>POLITIQUE EN FAVEUR DE L'INCLUSION SOCIALE</t>
  </si>
  <si>
    <t>IMMIGRATION ET ASILE</t>
  </si>
  <si>
    <t>ACCUEIL EN FAVEUR DES FAMILLES VULNERABLES</t>
  </si>
  <si>
    <t>DEMANDE LOCATIVE SOCIALE</t>
  </si>
  <si>
    <t xml:space="preserve">   Demandes internes</t>
  </si>
  <si>
    <t>Niveaux II et I</t>
  </si>
  <si>
    <r>
      <t xml:space="preserve">STAPS </t>
    </r>
    <r>
      <rPr>
        <sz val="6"/>
        <color indexed="8"/>
        <rFont val="Calibri"/>
        <family val="2"/>
      </rPr>
      <t>Sciences et Techniques des Activités Physiques et Sportives</t>
    </r>
  </si>
  <si>
    <r>
      <t xml:space="preserve">DUT Carrière sociale </t>
    </r>
    <r>
      <rPr>
        <sz val="6"/>
        <color indexed="8"/>
        <rFont val="Calibri"/>
        <family val="2"/>
      </rPr>
      <t>option Animation sociale et socio-culturelle</t>
    </r>
  </si>
  <si>
    <t xml:space="preserve">      Part de la demande interne</t>
  </si>
  <si>
    <t xml:space="preserve">   Demandes externes </t>
  </si>
  <si>
    <t>RECOURS AU DROIT AU LOGEMENT OPPOSABLE (DALO)</t>
  </si>
  <si>
    <t>EQUIPEMENTS D'HEBERGEMENT SOCIAL</t>
  </si>
  <si>
    <t>Sources : DREAL, CREHA Ouest</t>
  </si>
  <si>
    <t xml:space="preserve">   Demandes externes (1)</t>
  </si>
  <si>
    <t xml:space="preserve">   Demandes internes (2)</t>
  </si>
  <si>
    <t xml:space="preserve">   Dont logements vacants</t>
  </si>
  <si>
    <t xml:space="preserve">   RSA socle seul majoré</t>
  </si>
  <si>
    <t xml:space="preserve">   RSA socle + activité majoré</t>
  </si>
  <si>
    <t xml:space="preserve">   RSA socle seul non majoré</t>
  </si>
  <si>
    <t xml:space="preserve">   RSA socle + activité non majoré</t>
  </si>
  <si>
    <t>Nombre d'allocataires du RSA (1)</t>
  </si>
  <si>
    <t>Sources : DREES, CNAF, MSA</t>
  </si>
  <si>
    <t>ALLOCATAIRES DU REVENU DE SOLIDARITE ACTIVE (RSA)</t>
  </si>
  <si>
    <t>Sources : DREAL, DDEA, Créha Ouest</t>
  </si>
  <si>
    <t>CADA Accueil Demandeurs d'Asile</t>
  </si>
  <si>
    <t xml:space="preserve">   Stabilisation</t>
  </si>
  <si>
    <t xml:space="preserve">   Urgence</t>
  </si>
  <si>
    <t>Centres d'accueil</t>
  </si>
  <si>
    <t>ACCUEIL DES ENFANTS D'AGE PRESCOLAIRE</t>
  </si>
  <si>
    <t>CépiDc</t>
  </si>
  <si>
    <t>Centre d'épidémiologie sur les causes médicales de décès, laboratoire de l'INSERM</t>
  </si>
  <si>
    <t>INSERM</t>
  </si>
  <si>
    <t xml:space="preserve">   Taux de pauvreté des séniors (65 ans et +)</t>
  </si>
  <si>
    <t>Total chômeurs indemnisés fin de mois</t>
  </si>
  <si>
    <t>Source : RNA, DRJSCS</t>
  </si>
  <si>
    <t>Année 2012</t>
  </si>
  <si>
    <t>Autres secteurs d'activité</t>
  </si>
  <si>
    <t xml:space="preserve"> dont arts, spectacles</t>
  </si>
  <si>
    <t xml:space="preserve">  dont activités sportives et de loisirs</t>
  </si>
  <si>
    <t xml:space="preserve">   dont arts, spectacles</t>
  </si>
  <si>
    <r>
      <t>(4)</t>
    </r>
    <r>
      <rPr>
        <i/>
        <sz val="7"/>
        <color indexed="8"/>
        <rFont val="Calibri"/>
        <family val="2"/>
      </rPr>
      <t xml:space="preserve"> Nombre de logements sociaux pour 10 000 habitants</t>
    </r>
  </si>
  <si>
    <t>Taux d'équipement (4)</t>
  </si>
  <si>
    <t>dont urgence</t>
  </si>
  <si>
    <t>dont stabilisation</t>
  </si>
  <si>
    <t>dont insertion</t>
  </si>
  <si>
    <t>Entrées en contrat d'apprentissage (2)</t>
  </si>
  <si>
    <t>Jeunes entrés en CUI-CAE (3)</t>
  </si>
  <si>
    <t>Jeunes entrés en CUI-CIE (4)</t>
  </si>
  <si>
    <t xml:space="preserve">(2) Nombre de places pour jeunes travailleurs en Résidences sociales ou Foyers, pour 1000 jeunes de 16 à 25 ans </t>
  </si>
  <si>
    <t>Institut National de la Statistique et des Etudes Economiques</t>
  </si>
  <si>
    <t>ONZUS</t>
  </si>
  <si>
    <t>Obsevatoire National des Zones Urbaines Sensibles</t>
  </si>
  <si>
    <t>Fichier d'Identification National des Etablissements Sanitaires et Sociaux</t>
  </si>
  <si>
    <t>MEDDE</t>
  </si>
  <si>
    <t>Ministère de l'Ecologie, du Développement Durable et de l'Energie</t>
  </si>
  <si>
    <t>DGCS</t>
  </si>
  <si>
    <t>Direction Générale de la Cohésion Sociale</t>
  </si>
  <si>
    <t>CAF</t>
  </si>
  <si>
    <t>Caisse d'Allocations Familiales</t>
  </si>
  <si>
    <t>DJEPVA</t>
  </si>
  <si>
    <t>Direction de la Jeunesse, de l'Education Populaire et de la Vie Associative</t>
  </si>
  <si>
    <t>(2) estimation de population</t>
  </si>
  <si>
    <t>(4) Rapport entre le nombre d'actifs et la population de 15 à 64 ans</t>
  </si>
  <si>
    <t>CNAF</t>
  </si>
  <si>
    <t>Caisse National des Allocations Familiales</t>
  </si>
  <si>
    <t>CREHA Ouest</t>
  </si>
  <si>
    <t>Centre Régional d'Etudes pour l'Habitat de l'Ouest</t>
  </si>
  <si>
    <t>OFDT</t>
  </si>
  <si>
    <t>Observatoire Français des Drogues et Toxicomanies</t>
  </si>
  <si>
    <t>MEOS</t>
  </si>
  <si>
    <t>RNA</t>
  </si>
  <si>
    <t>Répertoire National des Associations</t>
  </si>
  <si>
    <t>Clap</t>
  </si>
  <si>
    <t>(3) Taxe intérieure sur les produits pétroliers</t>
  </si>
  <si>
    <t>(4) Recouvrement d'indus des Services Communs et des Autres Interventions</t>
  </si>
  <si>
    <t>téléphone : 02 40 12 87 08 - Télécopieur : 02 40 12 87 00</t>
  </si>
  <si>
    <t>Sources : DREAL, SOeS/ MEDDE</t>
  </si>
  <si>
    <r>
      <t>(3)</t>
    </r>
    <r>
      <rPr>
        <i/>
        <sz val="7"/>
        <color indexed="8"/>
        <rFont val="Calibri"/>
        <family val="2"/>
      </rPr>
      <t xml:space="preserve"> date d'entrée dans les lieux - date de dépôt de la demande, en nombre de mois</t>
    </r>
  </si>
  <si>
    <t>Recettes TIPP (3)</t>
  </si>
  <si>
    <t>Recettes (4)</t>
  </si>
  <si>
    <t>Connaissance locale de l'appareil productif (données INSEE)</t>
  </si>
  <si>
    <t>Service de l'Observation Statistique de l'Environnement du ministère de l'Ecologie, du Développement Durable et de l'Energie</t>
  </si>
  <si>
    <t>Autres services (2)</t>
  </si>
  <si>
    <t>(2) hors administration publique, enseignement, santé humaine, action sociale, commerce, transport, hébergement, restauration</t>
  </si>
  <si>
    <t>Autres services (1)</t>
  </si>
  <si>
    <t>(1) hors administration publique, enseignement, santé humaine, action sociale, commerce, transport, hébergement, restauration</t>
  </si>
  <si>
    <t xml:space="preserve">  dont arts, spectacles</t>
  </si>
  <si>
    <t xml:space="preserve">(2) Fonds de coopération de la jeunesse et de l’éducation populaire </t>
  </si>
  <si>
    <t>Accueil collectif de mineurs avec hébergement</t>
  </si>
  <si>
    <t>(2) Pour 1000 femmes de 15 à 49 ans</t>
  </si>
  <si>
    <t>(3) Nombre d'enfants qu'aurait une femme tout au long de sa vie, si les taux de fécondité demeuraient inchangés</t>
  </si>
  <si>
    <t>(4) Nombre de personnes de 65 ans et plus pour 100 personnes de moins de 20 ans</t>
  </si>
  <si>
    <t>Population totale des communes urbaines</t>
  </si>
  <si>
    <t>ENTREES au cours de l'année</t>
  </si>
  <si>
    <t>SORTIES au cours de l'année</t>
  </si>
  <si>
    <t>Source : DRJSCS, DDCS(PP), DGCS</t>
  </si>
  <si>
    <t xml:space="preserve">   Part parmi les 20-24 ans (%)</t>
  </si>
  <si>
    <t>(3) pour 1 000 jeunes-filles de 15 à 17 ans</t>
  </si>
  <si>
    <t>(1) Lieux de vie et d'accueil, villages d'enfants</t>
  </si>
  <si>
    <t>Source : DRJSCS (Finess)</t>
  </si>
  <si>
    <t>Salariés employés par des particuliers (2ème trimestre 2010)</t>
  </si>
  <si>
    <t>Sources : INSEE,  Revenus disponibles localisés</t>
  </si>
  <si>
    <t>Source : DRJSCS, Base de données Sport de Haut Niveau (SHN)</t>
  </si>
  <si>
    <t>Au 1/1/2010 (1)</t>
  </si>
  <si>
    <t>Au 1/1/2012 (2)</t>
  </si>
  <si>
    <t>Densité au 1/1/2012 (hab./km²)</t>
  </si>
  <si>
    <t>En 2011 (définitif)</t>
  </si>
  <si>
    <t>Population active au 1/1/2010</t>
  </si>
  <si>
    <t>Taux de Natalité 2011</t>
  </si>
  <si>
    <t>Taux de Mortalité 2011</t>
  </si>
  <si>
    <t>Taux de Mortalité infantile 2011 (1)</t>
  </si>
  <si>
    <t>(1) Rapport entre le nombre de décès d'enfants de moins d'un an et le nombre d'enfants nés vivants en 2009, 2010, 2011</t>
  </si>
  <si>
    <t>Taux de Fécondité 2011 (2)</t>
  </si>
  <si>
    <t>Indice de vieillissement au 1/1/2012 (4)</t>
  </si>
  <si>
    <t xml:space="preserve">Indice conjoncturel de Fécondité 2011 (3) </t>
  </si>
  <si>
    <t>Espérance de vie en 2011</t>
  </si>
  <si>
    <t>Effectifs par classe d'âge au 1er janvier 2012</t>
  </si>
  <si>
    <t>Pourcentages  par classe d'âge au 1er janvier 2012</t>
  </si>
  <si>
    <r>
      <t>(4)</t>
    </r>
    <r>
      <rPr>
        <i/>
        <sz val="7"/>
        <rFont val="Calibri"/>
        <family val="2"/>
      </rPr>
      <t xml:space="preserve"> Allocataires dont les revenus dépendent à 50% ou plus des prestations sociales. Leur part se rapporte au nombre de ménages du RP 2010</t>
    </r>
  </si>
  <si>
    <t>Taux de chômage (4ème trimestre 2012)</t>
  </si>
  <si>
    <t>nb defm A B C 31 dec 2011</t>
  </si>
  <si>
    <t>Sources : INSEE (Enquête emploi en continu, Taux de chômage localisé, RP 2010 exploitation principale), Pôle Emploi, DIRECCTE, DRJSCS</t>
  </si>
  <si>
    <t xml:space="preserve"> Evolution nb de chômeurs 2011-2012 (1)</t>
  </si>
  <si>
    <t>(1) Evolution du nombre de demandeurs d'emploi de catégories A, B ou C entre fin déc 2011 et fin déc 2012</t>
  </si>
  <si>
    <t>Effectifs au 31 décembre 2012</t>
  </si>
  <si>
    <t>Demandeurs d'emploi  de catégorie A, B, C en 2012</t>
  </si>
  <si>
    <t>Source : Pôle Emploi, DARES</t>
  </si>
  <si>
    <t>Au 31 décembre 2012</t>
  </si>
  <si>
    <t xml:space="preserve">   RSA activité seule non majoré</t>
  </si>
  <si>
    <t xml:space="preserve">   RSA activité seule majoré</t>
  </si>
  <si>
    <t>Nombre d'allocataires au 31 décembre 2012</t>
  </si>
  <si>
    <t>au 31/12/2012</t>
  </si>
  <si>
    <t>Effectifs et dispositifs pour l'année scolaire 2012-2013</t>
  </si>
  <si>
    <t xml:space="preserve">   l'ACTP (3) au 31/12/2011</t>
  </si>
  <si>
    <t xml:space="preserve">   Alloc. Personnalisée d'Autonomie </t>
  </si>
  <si>
    <t xml:space="preserve">   (APA) (4) au 31/12/2011</t>
  </si>
  <si>
    <t>Bénéficiaires au 31/12/2012</t>
  </si>
  <si>
    <t>Données de cadrage au 1er janvier 2010</t>
  </si>
  <si>
    <t>Source : INSEE (RP 2010, exploitations principale et complémentaire)</t>
  </si>
  <si>
    <t>année 2013</t>
  </si>
  <si>
    <t>Nombre de places au 1er janvier 2013</t>
  </si>
  <si>
    <t>Centres hébergement hors CHRS</t>
  </si>
  <si>
    <t>Effectifs par sexe et âge au 1er janvier 2012</t>
  </si>
  <si>
    <t>Sources : INSEE RP 2010 exploitation principale, DRJSCS</t>
  </si>
  <si>
    <t>en 2011</t>
  </si>
  <si>
    <t>ou grosses difficultés en lecture en 2011</t>
  </si>
  <si>
    <t>Insertion professionnelle des jeunes de moins de 26 ans en 2012</t>
  </si>
  <si>
    <t>Au 1er janvier 2010</t>
  </si>
  <si>
    <t>Source : INSEE (RP 2010)</t>
  </si>
  <si>
    <t xml:space="preserve">Lits et places installés au 1er janvier 2013 - Taux d'équipement </t>
  </si>
  <si>
    <t>Licences et clubs des fédérations sportives agrées en 2012</t>
  </si>
  <si>
    <t>Conseillers techniques sportifs au 01/09/13</t>
  </si>
  <si>
    <t>Situation au 1er septembre 2013</t>
  </si>
  <si>
    <t xml:space="preserve">  Pôles France jeune</t>
  </si>
  <si>
    <t>En 2012</t>
  </si>
  <si>
    <t>Sources : DRJSCS, DDCS, MESR</t>
  </si>
  <si>
    <t>Diplômes professionnels et non professionnels (y compris VAE). Année 2012</t>
  </si>
  <si>
    <r>
      <t xml:space="preserve">BE </t>
    </r>
    <r>
      <rPr>
        <sz val="6"/>
        <color indexed="8"/>
        <rFont val="Calibri"/>
        <family val="2"/>
      </rPr>
      <t>Alpinisme - guide de haute montagne</t>
    </r>
  </si>
  <si>
    <t>DIPLÔMES PROFESSIONNELS JEUNESSE ET SPORT</t>
  </si>
  <si>
    <t>DIPLÔMES PROFESSIONNELS EDUCATION NATIONALE</t>
  </si>
  <si>
    <t>Préparateur en pharmacie</t>
  </si>
  <si>
    <t>Année 2013</t>
  </si>
  <si>
    <t>Associations créées en 2013 (1)</t>
  </si>
  <si>
    <t>Associations créées en 2013 par nature</t>
  </si>
  <si>
    <t>au 31 décembre 2011</t>
  </si>
  <si>
    <t>en 2011 et 2012</t>
  </si>
  <si>
    <t>Nombre d'apprentis au 31 déc 2012 (2)</t>
  </si>
  <si>
    <t xml:space="preserve">   Jardins d'enfants</t>
  </si>
  <si>
    <t xml:space="preserve">   Jardins d'éveil</t>
  </si>
  <si>
    <t>(1) Taux d'équipement pour 1000 enfants nés au cours des 3 dernières années, les places en jardins d'enfants (3-6 ans) ne sont pas incluses dans le taux</t>
  </si>
  <si>
    <t>Accueil familial</t>
  </si>
  <si>
    <t xml:space="preserve">   Places</t>
  </si>
  <si>
    <t xml:space="preserve">   Enfants inscrits</t>
  </si>
  <si>
    <t xml:space="preserve">  Tx de sortie vers un emploi (2012) (1)</t>
  </si>
  <si>
    <t>Sources : INSEE, base "Revenus disponibles localisés" 2011, CAF, DREES</t>
  </si>
  <si>
    <t>DEPENSES D'AIDE SOCIALE - COMPETENCE DU CONSEIL GENERAL</t>
  </si>
  <si>
    <t>Nb de logements sociaux (1) au 01/01/2012</t>
  </si>
  <si>
    <t>Nombre de demandes en cours au 01/01/2013</t>
  </si>
  <si>
    <t>Nombre de demandes satisfaites en 2012</t>
  </si>
  <si>
    <t>Délai moyen de satisfaction en 2013 (3)</t>
  </si>
  <si>
    <t>s</t>
  </si>
  <si>
    <t>Postes Fonjep DRJSCS (2) 2013</t>
  </si>
  <si>
    <t>Ɛ</t>
  </si>
  <si>
    <t xml:space="preserve">  Tx de sortie vers logement accompagné (2012) (1)</t>
  </si>
  <si>
    <t xml:space="preserve">  Tx de sortie vers logement autonome (2012) (1)</t>
  </si>
  <si>
    <t>Nombre de pôles sportifs labellisés et structures associées</t>
  </si>
  <si>
    <t xml:space="preserve">  Structures associées</t>
  </si>
  <si>
    <t>En 2006</t>
  </si>
  <si>
    <t>Population urbaine en 2010</t>
  </si>
  <si>
    <t>Source : ONZUS, SIG-Ville, INSEE, Recencements 2006 et 2010</t>
  </si>
  <si>
    <t>Part des familles monoparentales en 2010</t>
  </si>
  <si>
    <t>Pays de naissance des immigrés</t>
  </si>
  <si>
    <t>Part des femmes dans la population immigrée</t>
  </si>
  <si>
    <t>Source : INSEE RP 2010 exploitation principale</t>
  </si>
  <si>
    <t>Nombre de personnes immigrées (1)</t>
  </si>
  <si>
    <t>IMMIGRATION ET ORIGINES</t>
  </si>
  <si>
    <t>ACTIVITE ET CHOMAGE DE LA POPULATION IMMIGREE ET ETRANGERE</t>
  </si>
  <si>
    <t>au 1er janvier 2010</t>
  </si>
  <si>
    <t xml:space="preserve">   Portugal</t>
  </si>
  <si>
    <t xml:space="preserve">   Italie</t>
  </si>
  <si>
    <t xml:space="preserve">   Espagne</t>
  </si>
  <si>
    <t xml:space="preserve">   Autres pays de l'UE (à 27)</t>
  </si>
  <si>
    <t xml:space="preserve">   Autres pays d'Europe</t>
  </si>
  <si>
    <t xml:space="preserve">   Algérie</t>
  </si>
  <si>
    <t xml:space="preserve">   Maroc</t>
  </si>
  <si>
    <t xml:space="preserve">   Tunisie</t>
  </si>
  <si>
    <t xml:space="preserve">   Autres pays d'Afrique</t>
  </si>
  <si>
    <t xml:space="preserve">   Turquie</t>
  </si>
  <si>
    <t xml:space="preserve">   Autres pays</t>
  </si>
  <si>
    <t xml:space="preserve">   Immigrés</t>
  </si>
  <si>
    <t xml:space="preserve">   Non immigrés</t>
  </si>
  <si>
    <t xml:space="preserve">   Français</t>
  </si>
  <si>
    <t xml:space="preserve">   Etrangers</t>
  </si>
  <si>
    <t>Immigration et origines</t>
  </si>
  <si>
    <t>Activité et chômage de la population immigrée et étrangère</t>
  </si>
  <si>
    <t>Logement accompagné</t>
  </si>
  <si>
    <t>Résidences sociales</t>
  </si>
  <si>
    <t>Foyers de jeunes travailleurs (3)</t>
  </si>
  <si>
    <t>Foyers de travailleurs migrants (3)</t>
  </si>
  <si>
    <r>
      <rPr>
        <b/>
        <i/>
        <sz val="7"/>
        <rFont val="Calibri"/>
        <family val="2"/>
      </rPr>
      <t>(3)</t>
    </r>
    <r>
      <rPr>
        <i/>
        <sz val="7"/>
        <rFont val="Calibri"/>
        <family val="2"/>
      </rPr>
      <t xml:space="preserve"> Non transformés en résidences sociales</t>
    </r>
  </si>
  <si>
    <t>(1) Places en Foyers ou en Résidences sociales pour Jeunes Travailleurs, incluses dans le comptage des places en logement accompagné p.27</t>
  </si>
  <si>
    <t>POLITIQUES PUBLIQUES POUR LA JEUNESSE</t>
  </si>
  <si>
    <t>Source : Académie, MEN/DEPP, Insee (recensement), DSN, Conseil régional des Pays de la Loire</t>
  </si>
  <si>
    <t>Fonds d'Aide aux Jeunes (FAJ) en 2011</t>
  </si>
  <si>
    <t>Montant FAJ engagés (en euros)</t>
  </si>
  <si>
    <t>Nombre d'aides attribuées (3)</t>
  </si>
  <si>
    <t>Jeunes entrés en Service Civique en 2012 (1)</t>
  </si>
  <si>
    <t>Jeunes volontaires en SVE en 2012 (2)</t>
  </si>
  <si>
    <r>
      <rPr>
        <b/>
        <i/>
        <sz val="7"/>
        <rFont val="Calibri"/>
        <family val="2"/>
      </rPr>
      <t>(1)</t>
    </r>
    <r>
      <rPr>
        <i/>
        <sz val="7"/>
        <rFont val="Calibri"/>
        <family val="2"/>
      </rPr>
      <t xml:space="preserve"> de 16 à 25 ans</t>
    </r>
  </si>
  <si>
    <r>
      <rPr>
        <b/>
        <i/>
        <sz val="7"/>
        <rFont val="Calibri"/>
        <family val="2"/>
      </rPr>
      <t>(2)</t>
    </r>
    <r>
      <rPr>
        <i/>
        <sz val="7"/>
        <rFont val="Calibri"/>
        <family val="2"/>
      </rPr>
      <t xml:space="preserve"> Service Volontaire Européen</t>
    </r>
  </si>
  <si>
    <r>
      <rPr>
        <b/>
        <i/>
        <sz val="7"/>
        <color indexed="8"/>
        <rFont val="Calibri"/>
        <family val="2"/>
      </rPr>
      <t>(3)</t>
    </r>
    <r>
      <rPr>
        <i/>
        <sz val="7"/>
        <color indexed="8"/>
        <rFont val="Calibri"/>
        <family val="2"/>
      </rPr>
      <t xml:space="preserve"> Le nombre d'aides attribuées dans l'année est différent du nombre de jeunes aidés ; un jeune peut avoir bénéficié de plusieurs aides au cours de la même année</t>
    </r>
  </si>
  <si>
    <t>Montant moyen de l'aide FAJ (en euros)</t>
  </si>
  <si>
    <t>Missions locales et PAIO en 2012</t>
  </si>
  <si>
    <t>Nombre de jeunes en premier accueil</t>
  </si>
  <si>
    <r>
      <rPr>
        <b/>
        <i/>
        <sz val="7"/>
        <color indexed="8"/>
        <rFont val="Calibri"/>
        <family val="2"/>
      </rPr>
      <t>(4</t>
    </r>
    <r>
      <rPr>
        <i/>
        <sz val="7"/>
        <color indexed="8"/>
        <rFont val="Calibri"/>
        <family val="2"/>
      </rPr>
      <t>) Pour 100 jeunes de 16 à 25 ans</t>
    </r>
  </si>
  <si>
    <t>Source : Agence du service civique, DRJSCS, DJEPVA, DREES enquête FAJ 2011</t>
  </si>
  <si>
    <t>Nombre de clubs affiliés (1)</t>
  </si>
  <si>
    <t>Nb de licences sportives délivrées (2)</t>
  </si>
  <si>
    <t xml:space="preserve">    Part des licences féminines (en %) (3)</t>
  </si>
  <si>
    <r>
      <t xml:space="preserve">(1) </t>
    </r>
    <r>
      <rPr>
        <i/>
        <sz val="7"/>
        <color indexed="8"/>
        <rFont val="Calibri"/>
        <family val="2"/>
      </rPr>
      <t>Données de l'année 2012 estimées au 8 juillet 2013</t>
    </r>
  </si>
  <si>
    <r>
      <rPr>
        <b/>
        <i/>
        <sz val="7"/>
        <color indexed="8"/>
        <rFont val="Calibri"/>
        <family val="2"/>
      </rPr>
      <t>(2</t>
    </r>
    <r>
      <rPr>
        <i/>
        <sz val="7"/>
        <color indexed="8"/>
        <rFont val="Calibri"/>
        <family val="2"/>
      </rPr>
      <t>) Données de l'année 2012 estimées au 18 juillet 2013</t>
    </r>
  </si>
  <si>
    <r>
      <rPr>
        <b/>
        <i/>
        <sz val="7"/>
        <color indexed="8"/>
        <rFont val="Calibri"/>
        <family val="2"/>
      </rPr>
      <t>(3)</t>
    </r>
    <r>
      <rPr>
        <i/>
        <sz val="7"/>
        <color indexed="8"/>
        <rFont val="Calibri"/>
        <family val="2"/>
      </rPr>
      <t xml:space="preserve"> parmi l'ensemble des licences des fédérations multisports</t>
    </r>
  </si>
  <si>
    <t>(1) hors séjours accessoires organisés dans le cadre des accueils de loisirs, séjours dans une famille et séjours dans le cadre des accueils de scoutisme, estimations au 28 juin 2013</t>
  </si>
  <si>
    <t>Séjours organisés durant les congés scolaires, hors séjours accessoires (1), en 2011/2012</t>
  </si>
  <si>
    <t>(2) organisés dans le cadre des accueils de loisirs, dont la durée ne peut excéder 5 jours, estimations au 22 novembre 2011</t>
  </si>
  <si>
    <t>Part de la population vivant dans les grandes aires urbaines (1)</t>
  </si>
  <si>
    <r>
      <rPr>
        <b/>
        <i/>
        <sz val="7"/>
        <rFont val="Calibri"/>
        <family val="2"/>
      </rPr>
      <t>(1)</t>
    </r>
    <r>
      <rPr>
        <i/>
        <sz val="7"/>
        <rFont val="Calibri"/>
        <family val="2"/>
      </rPr>
      <t xml:space="preserve"> Indicateurs sociaux départementaux - zonage en aires urbaines de 2010</t>
    </r>
  </si>
  <si>
    <t xml:space="preserve">   Bénéficiaires PCH, ACTP ‰ ens. population</t>
  </si>
  <si>
    <t>Diplômés et non diplômés en 2010</t>
  </si>
  <si>
    <t>Situation en février 2014</t>
  </si>
  <si>
    <t>dont :   Sites activ. aquatiques et nautiques</t>
  </si>
  <si>
    <t xml:space="preserve">             Boucles de randonnées</t>
  </si>
  <si>
    <t xml:space="preserve">             Sites de char à voile</t>
  </si>
  <si>
    <t>dont :   Terrains de grands jeux (football, rugby…)</t>
  </si>
  <si>
    <t xml:space="preserve">             Courts de tennis</t>
  </si>
  <si>
    <t xml:space="preserve">                   dont couverts</t>
  </si>
  <si>
    <t xml:space="preserve">            Tous bassins de natation </t>
  </si>
  <si>
    <t xml:space="preserve">                  dont bassins couverts de plus de 25m</t>
  </si>
  <si>
    <t xml:space="preserve">            Salles multisports</t>
  </si>
  <si>
    <t xml:space="preserve">            Salles d'arts martiaux (dojos)</t>
  </si>
  <si>
    <t xml:space="preserve">            Stades d'athlétisme</t>
  </si>
  <si>
    <t xml:space="preserve">            Plateaux multisports / citystades</t>
  </si>
  <si>
    <t xml:space="preserve">            Equipements équestres (manèges, carrières)</t>
  </si>
  <si>
    <t xml:space="preserve">            Boulodromes</t>
  </si>
  <si>
    <t xml:space="preserve">                dont boules traditionnelles</t>
  </si>
  <si>
    <t xml:space="preserve">           Parcours de golf (18 trous)</t>
  </si>
  <si>
    <t xml:space="preserve">           Skate park et anneaux de roller</t>
  </si>
  <si>
    <t>Places pour jeunes travailleurs déc 2013 (1)</t>
  </si>
  <si>
    <t>PLS (Prêt Locatif Social) hors taxe foncière</t>
  </si>
  <si>
    <t>1er janvier 2010 et déc 2013</t>
  </si>
  <si>
    <t>Associations créées en 2012 (2)</t>
  </si>
  <si>
    <t>(2) pour la France Métropolitaine : estimation à partir des données Recherches &amp; Solidarités</t>
  </si>
  <si>
    <t>(1) pour la France métropolitaine : donnée septembre 2012 – août 2013, source Recherches &amp; Solidarités</t>
  </si>
  <si>
    <t>Politiques publiques pour la jeunesse</t>
  </si>
  <si>
    <t>Source : INSEE, Estimations de population au 1er janvier. Résultats provisoires arrêtés fin 2012</t>
  </si>
  <si>
    <t xml:space="preserve"> Solidarité aux Personnes Agées (ASPA)</t>
  </si>
  <si>
    <t>en 2012 et 2013</t>
  </si>
  <si>
    <t>Taux de recours à une mission locale (4)</t>
  </si>
  <si>
    <t>en 2010/2011 et 2011/2012</t>
  </si>
  <si>
    <t>Titres par équivalence</t>
  </si>
  <si>
    <t>Titres par VAE seule</t>
  </si>
  <si>
    <t>Titres par diplôme européen</t>
  </si>
  <si>
    <t>Sources : DREES - DRJSCS Enquête écoles de formation 2012 et service certificateur</t>
  </si>
  <si>
    <t>Titres par formation (*)</t>
  </si>
  <si>
    <t>POUR EN SAVOIR PLUS</t>
  </si>
  <si>
    <t>Des outils en ligne sont à votre disposition</t>
  </si>
  <si>
    <t>Vous pouvez également consulter la publication nationale du Panorama Statistique détaillant chaque région sur le site</t>
  </si>
  <si>
    <t>de la Direction de la Recherche, des Etudes, de l'Evaluation et des Statistiques (DREES)</t>
  </si>
  <si>
    <t>http://www.drees.sante.gouv.fr</t>
  </si>
  <si>
    <r>
      <rPr>
        <b/>
        <sz val="10"/>
        <color indexed="8"/>
        <rFont val="Calibri"/>
        <family val="2"/>
      </rPr>
      <t xml:space="preserve">FINESS - </t>
    </r>
    <r>
      <rPr>
        <i/>
        <sz val="10"/>
        <color indexed="8"/>
        <rFont val="Calibri"/>
        <family val="2"/>
      </rPr>
      <t>Fichier National des Etablissements Sanitaires et Sociaux</t>
    </r>
  </si>
  <si>
    <t>Pour rechercher les coordonnées d'établissements sanitaires ou sociaux</t>
  </si>
  <si>
    <t>http://finess.sante.gouv.fr</t>
  </si>
  <si>
    <r>
      <rPr>
        <b/>
        <sz val="10"/>
        <color indexed="8"/>
        <rFont val="Calibri"/>
        <family val="2"/>
      </rPr>
      <t>RES</t>
    </r>
    <r>
      <rPr>
        <i/>
        <sz val="10"/>
        <color indexed="8"/>
        <rFont val="Calibri"/>
        <family val="2"/>
      </rPr>
      <t xml:space="preserve"> - Recensement des équipements sportifs</t>
    </r>
  </si>
  <si>
    <t>http://www.res.sports.gouv.fr</t>
  </si>
  <si>
    <t>Pour rechercher des équipements sportifs à partir de critères comme</t>
  </si>
  <si>
    <t xml:space="preserve"> la localisation géographique, le type d'équipement…</t>
  </si>
  <si>
    <r>
      <t xml:space="preserve">(*) </t>
    </r>
    <r>
      <rPr>
        <i/>
        <sz val="7"/>
        <color indexed="8"/>
        <rFont val="Calibri"/>
        <family val="2"/>
      </rPr>
      <t>diplômes déclarés par les établissements de formation, comprenant les validations pour acquis d'expérience (VAE) partielles</t>
    </r>
  </si>
  <si>
    <t>Taux de variation annuel moyen (2006-2013)</t>
  </si>
  <si>
    <t>Population des ménages en 2006</t>
  </si>
  <si>
    <r>
      <t>(1)</t>
    </r>
    <r>
      <rPr>
        <i/>
        <sz val="7"/>
        <rFont val="Calibri"/>
        <family val="2"/>
      </rPr>
      <t xml:space="preserve"> Proportion d'individus au niveau de vie inférieur au seuil de pauvreté (fixé à 60 % du niveau de vie médian de la population, soit 977 € par mois en 2011)</t>
    </r>
  </si>
  <si>
    <t>Tx de chômage des hommes - 01/01/10</t>
  </si>
  <si>
    <t>Tx de chômage des femmes - 01/01/10</t>
  </si>
  <si>
    <t>Taux pour 1 000 personnes de 25 à 64 ans</t>
  </si>
  <si>
    <t>Taux de population couverte (en ‰)</t>
  </si>
  <si>
    <t>ALLOCATIONS (RSA, Contrats d'avenir)</t>
  </si>
  <si>
    <t>(2) Dont Fonds départemental de mobilisation pour l'insertion ou le RSA</t>
  </si>
  <si>
    <r>
      <t>(2)</t>
    </r>
    <r>
      <rPr>
        <i/>
        <sz val="7"/>
        <color indexed="8"/>
        <rFont val="Calibri"/>
        <family val="2"/>
      </rPr>
      <t xml:space="preserve"> Nombre de places en hébergement (CHRS et hors CHRS) pour 1000 personnes de 20 à 59 ans</t>
    </r>
  </si>
  <si>
    <t xml:space="preserve">   dont accidents de circulation</t>
  </si>
  <si>
    <t xml:space="preserve">   dont suicides</t>
  </si>
  <si>
    <t>Décès de jeunes 15-24 ans (cumul 2008-2009-2010)</t>
  </si>
  <si>
    <t>Données 2010, 2011 et 2012</t>
  </si>
  <si>
    <t>(2) Ensemble des apprentis sous tutelle de l'Éducation nationale ou de l'Agriculture</t>
  </si>
  <si>
    <t xml:space="preserve">% élèves ayant 2 ans ou + retard </t>
  </si>
  <si>
    <t>en 3ème en 2012/2013</t>
  </si>
  <si>
    <t>Données 2011 et 2012</t>
  </si>
  <si>
    <t>Séjours accessoires (2), en 2010/2011</t>
  </si>
  <si>
    <t>par le Ministère des Droits des Femmes, de la Ville, de la Jeunesse et des Sports</t>
  </si>
  <si>
    <t>Source : recensement réalisé par la Mission des Etudes, de l'Observation et des Statistiques auprès des fédérations sportives agréées</t>
  </si>
  <si>
    <t>Sources : DRJSCS, Ministère des Droits des Femmes, de la Ville, de la Jeunesse et des Sports, recensement des équipements sportifs</t>
  </si>
  <si>
    <t>Champ : Emploi salarié en effectif qui comprend les salariés de tous les établissements du secteur privé industriel et commercial employant au moins une personne sous contrat de travail (champ de l'Assurance chômage)</t>
  </si>
  <si>
    <t>Direction de l'Animation de la Recherche, des Etudes et des Statistiques du ministère du Travail, de l'Emploi et du Dialogue Social</t>
  </si>
  <si>
    <t>Direction de l'Evaluation, de la Prospective et de la Performance du ministère de l'Education Nationale, de l'Enseignement supérieur et de la Recherche</t>
  </si>
  <si>
    <t>Direction de la Recherche, des Etudes, de l’Evaluation et des Statistiques du ministère des Affaires sociales</t>
  </si>
  <si>
    <t xml:space="preserve"> Ministère de l'Education Nationale, de l'Enseignement supérieur et de la Recherche</t>
  </si>
  <si>
    <t>Mission des Etudes, de l'Observation et des Statistiques du ministère des Droits des Femmes, de la Ville, de la Jeunesse et des Sports</t>
  </si>
  <si>
    <t>DIPLOMES DELIVRES dans le CHAMP des FORMATIONS SOCIALES</t>
  </si>
  <si>
    <t>Diplômes par VAE</t>
  </si>
  <si>
    <t>Diplômes par formation (*)</t>
  </si>
  <si>
    <t>Titres délivrés dans le champ des formations sanitaires</t>
  </si>
  <si>
    <t>TITRES DELIVRES dans le CHAMP des FORMATIONS SANITAIRES</t>
  </si>
  <si>
    <t>en années</t>
  </si>
  <si>
    <t>en %</t>
  </si>
  <si>
    <t>Taux pauvreté monétaire en 2011 (1)</t>
  </si>
  <si>
    <t>des prestations sociales en 2012 (4)</t>
  </si>
  <si>
    <t>Allocataires minima sociaux en 2011</t>
  </si>
  <si>
    <t>En 2012 et 2013</t>
  </si>
  <si>
    <t>Taux d'IVG chez les mineures 2011 (‰) (3)</t>
  </si>
  <si>
    <t>Nombre d'actifs de 15 ans et plus en emploi</t>
  </si>
  <si>
    <r>
      <t>(1)</t>
    </r>
    <r>
      <rPr>
        <i/>
        <sz val="7"/>
        <color indexed="8"/>
        <rFont val="Calibri"/>
        <family val="2"/>
      </rPr>
      <t xml:space="preserve"> De la population âgée de 15 ans et plus, taux de chômage au sens du recensement de la population</t>
    </r>
  </si>
  <si>
    <t>Taux de chômage (1)</t>
  </si>
  <si>
    <t>Cnamts</t>
  </si>
  <si>
    <t>FINESS</t>
  </si>
  <si>
    <t>PANORAMA STATISTIQUE 2013</t>
  </si>
  <si>
    <t xml:space="preserve">La plateforme d’observation sociale et médico-sociale </t>
  </si>
  <si>
    <t xml:space="preserve">des Pays de la Loire a été créée en 2012. </t>
  </si>
  <si>
    <t xml:space="preserve">Elle rassemble une trentaine de partenaires fédérés par une charte </t>
  </si>
  <si>
    <t xml:space="preserve">Elle a pour objectif de faciliter l’accès aux données existantes </t>
  </si>
  <si>
    <t xml:space="preserve">et d’identifier les besoins d’observation non couverts. </t>
  </si>
  <si>
    <t>Elle anime une conférence annuelle des partenaires et des groupes de travail spécifiques.</t>
  </si>
  <si>
    <t xml:space="preserve">Actuellement il y en a deux : « Accès aux données » et « Logement-hébergement ». </t>
  </si>
  <si>
    <t xml:space="preserve">La plateforme publie trois fois par an une lettre électronique </t>
  </si>
  <si>
    <t xml:space="preserve">qui informe sur la vie de la plateforme et diffuse une veille documentaire. </t>
  </si>
  <si>
    <t>Pour s’abonner à la lettre électronique de la plateforme d’observation sociale, écrire à :</t>
  </si>
  <si>
    <t>drjscs44-plateforme@drjscs.gouv.fr</t>
  </si>
  <si>
    <r>
      <t xml:space="preserve">(accessible sur le site </t>
    </r>
    <r>
      <rPr>
        <b/>
        <sz val="10"/>
        <color indexed="8"/>
        <rFont val="Calibri"/>
        <family val="2"/>
      </rPr>
      <t>www.pays-de-la-loire.drjscs.gouv.fr</t>
    </r>
    <r>
      <rPr>
        <sz val="10"/>
        <color indexed="8"/>
        <rFont val="Calibri"/>
        <family val="2"/>
      </rPr>
      <t>)</t>
    </r>
  </si>
  <si>
    <t xml:space="preserve">      hors RSA Jeunes (580 au total en Pays de la Loire)</t>
  </si>
  <si>
    <t>DEFM (2) indemnisés au 31/12/2012</t>
  </si>
  <si>
    <t>Nombre  de places agréées par la PMI au 1er janvier 2012</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</si>
</sst>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numFmt numFmtId="165" formatCode="0.0"/>
    <numFmt numFmtId="166" formatCode="#,###,###&quot;   &quot;"/>
    <numFmt numFmtId="167" formatCode="#,##0&quot;   &quot;"/>
    <numFmt numFmtId="168" formatCode="0.0%"/>
    <numFmt numFmtId="169" formatCode="#,##0.0"/>
    <numFmt numFmtId="170" formatCode="#,###,###&quot;  &quot;"/>
    <numFmt numFmtId="171" formatCode="#,###&quot; &quot;"/>
    <numFmt numFmtId="172" formatCode="0&quot;    &quot;"/>
    <numFmt numFmtId="173" formatCode="0.000%"/>
    <numFmt numFmtId="174" formatCode="0.00000"/>
    <numFmt numFmtId="175" formatCode="#,##0\ &quot;€&quot;"/>
    <numFmt numFmtId="176" formatCode="#,##0.0\ &quot;€&quot;"/>
    <numFmt numFmtId="177" formatCode="0.0&quot; &quot;"/>
    <numFmt numFmtId="178" formatCode="#,##0.0&quot;   &quot;"/>
    <numFmt numFmtId="179" formatCode="&quot;Vrai&quot;;&quot;Vrai&quot;;&quot;Faux&quot;"/>
    <numFmt numFmtId="180" formatCode="&quot;Actif&quot;;&quot;Actif&quot;;&quot;Inactif&quot;"/>
    <numFmt numFmtId="181" formatCode="#,###&quot;  &quot;"/>
    <numFmt numFmtId="182" formatCode="#,###,###&quot; &quot;"/>
    <numFmt numFmtId="183" formatCode="#,##0\ _€"/>
    <numFmt numFmtId="184" formatCode="[$€-2]\ #,##0.00_);[Red]\([$€-2]\ #,##0.00\)"/>
    <numFmt numFmtId="185" formatCode="#,##0.00\ &quot;€&quot;"/>
    <numFmt numFmtId="186" formatCode="_-* #,##0.00\ _€_-;\-* #,##0.00\ _€_-;_-* \-??\ _€_-;_-@_-"/>
    <numFmt numFmtId="187" formatCode="#,##0.00&quot; €&quot;"/>
  </numFmts>
  <fonts count="124">
    <font>
      <sz val="11"/>
      <color theme="1"/>
      <name val="Calibri"/>
      <family val="2"/>
    </font>
    <font>
      <sz val="11"/>
      <color indexed="8"/>
      <name val="Calibri"/>
      <family val="2"/>
    </font>
    <font>
      <sz val="10"/>
      <name val="Arial"/>
      <family val="2"/>
    </font>
    <font>
      <sz val="10"/>
      <name val="System"/>
      <family val="2"/>
    </font>
    <font>
      <sz val="7"/>
      <color indexed="8"/>
      <name val="Calibri"/>
      <family val="2"/>
    </font>
    <font>
      <b/>
      <sz val="7"/>
      <color indexed="8"/>
      <name val="Calibri"/>
      <family val="2"/>
    </font>
    <font>
      <i/>
      <sz val="7"/>
      <color indexed="8"/>
      <name val="Calibri"/>
      <family val="2"/>
    </font>
    <font>
      <sz val="7"/>
      <name val="Calibri"/>
      <family val="2"/>
    </font>
    <font>
      <b/>
      <i/>
      <sz val="7"/>
      <name val="Calibri"/>
      <family val="2"/>
    </font>
    <font>
      <i/>
      <sz val="7"/>
      <name val="Calibri"/>
      <family val="2"/>
    </font>
    <font>
      <b/>
      <sz val="10"/>
      <color indexed="9"/>
      <name val="Calibri"/>
      <family val="2"/>
    </font>
    <font>
      <b/>
      <sz val="8"/>
      <color indexed="9"/>
      <name val="Calibri"/>
      <family val="2"/>
    </font>
    <font>
      <sz val="8"/>
      <name val="Calibri"/>
      <family val="2"/>
    </font>
    <font>
      <b/>
      <sz val="7"/>
      <name val="Calibri"/>
      <family val="2"/>
    </font>
    <font>
      <b/>
      <i/>
      <sz val="7"/>
      <color indexed="8"/>
      <name val="Calibri"/>
      <family val="2"/>
    </font>
    <font>
      <sz val="7"/>
      <color indexed="10"/>
      <name val="Calibri"/>
      <family val="2"/>
    </font>
    <font>
      <b/>
      <sz val="10"/>
      <name val="Calibri"/>
      <family val="2"/>
    </font>
    <font>
      <sz val="10"/>
      <name val="Calibri"/>
      <family val="2"/>
    </font>
    <font>
      <b/>
      <sz val="7"/>
      <color indexed="10"/>
      <name val="Calibri"/>
      <family val="2"/>
    </font>
    <font>
      <b/>
      <sz val="8.5"/>
      <name val="Calibri"/>
      <family val="2"/>
    </font>
    <font>
      <b/>
      <sz val="11"/>
      <color indexed="8"/>
      <name val="Calibri"/>
      <family val="2"/>
    </font>
    <font>
      <b/>
      <sz val="7"/>
      <color indexed="9"/>
      <name val="Calibri"/>
      <family val="2"/>
    </font>
    <font>
      <i/>
      <sz val="11"/>
      <color indexed="8"/>
      <name val="Calibri"/>
      <family val="2"/>
    </font>
    <font>
      <sz val="5"/>
      <name val="Calibri"/>
      <family val="2"/>
    </font>
    <font>
      <sz val="6.5"/>
      <color indexed="8"/>
      <name val="Calibri"/>
      <family val="2"/>
    </font>
    <font>
      <sz val="10"/>
      <color indexed="8"/>
      <name val="Calibri"/>
      <family val="2"/>
    </font>
    <font>
      <i/>
      <sz val="10"/>
      <name val="Calibri"/>
      <family val="2"/>
    </font>
    <font>
      <b/>
      <sz val="9"/>
      <name val="Calibri"/>
      <family val="2"/>
    </font>
    <font>
      <sz val="11"/>
      <name val="Calibri"/>
      <family val="2"/>
    </font>
    <font>
      <b/>
      <sz val="7"/>
      <color indexed="56"/>
      <name val="Calibri"/>
      <family val="2"/>
    </font>
    <font>
      <sz val="7"/>
      <color indexed="56"/>
      <name val="Calibri"/>
      <family val="2"/>
    </font>
    <font>
      <sz val="6"/>
      <color indexed="8"/>
      <name val="Calibri"/>
      <family val="2"/>
    </font>
    <font>
      <b/>
      <vertAlign val="superscript"/>
      <sz val="7"/>
      <color indexed="8"/>
      <name val="Calibri"/>
      <family val="2"/>
    </font>
    <font>
      <sz val="3"/>
      <color indexed="8"/>
      <name val="Calibri"/>
      <family val="2"/>
    </font>
    <font>
      <b/>
      <sz val="3"/>
      <color indexed="8"/>
      <name val="Calibri"/>
      <family val="2"/>
    </font>
    <font>
      <sz val="2"/>
      <color indexed="8"/>
      <name val="Calibri"/>
      <family val="2"/>
    </font>
    <font>
      <b/>
      <sz val="2"/>
      <color indexed="8"/>
      <name val="Calibri"/>
      <family val="2"/>
    </font>
    <font>
      <b/>
      <sz val="6"/>
      <color indexed="8"/>
      <name val="Calibri"/>
      <family val="2"/>
    </font>
    <font>
      <i/>
      <sz val="6.5"/>
      <color indexed="8"/>
      <name val="Calibri"/>
      <family val="2"/>
    </font>
    <font>
      <sz val="4"/>
      <color indexed="8"/>
      <name val="Calibri"/>
      <family val="2"/>
    </font>
    <font>
      <i/>
      <vertAlign val="superscript"/>
      <sz val="7"/>
      <color indexed="8"/>
      <name val="Calibri"/>
      <family val="2"/>
    </font>
    <font>
      <u val="single"/>
      <sz val="7"/>
      <color indexed="8"/>
      <name val="Calibri"/>
      <family val="2"/>
    </font>
    <font>
      <sz val="11"/>
      <color indexed="10"/>
      <name val="Calibri"/>
      <family val="2"/>
    </font>
    <font>
      <u val="single"/>
      <sz val="11"/>
      <color indexed="12"/>
      <name val="Calibri"/>
      <family val="2"/>
    </font>
    <font>
      <u val="single"/>
      <sz val="11"/>
      <color indexed="36"/>
      <name val="Calibri"/>
      <family val="2"/>
    </font>
    <font>
      <sz val="8"/>
      <color indexed="10"/>
      <name val="Calibri"/>
      <family val="2"/>
    </font>
    <font>
      <i/>
      <sz val="8"/>
      <color indexed="10"/>
      <name val="Calibri"/>
      <family val="2"/>
    </font>
    <font>
      <i/>
      <sz val="7"/>
      <color indexed="10"/>
      <name val="Calibri"/>
      <family val="2"/>
    </font>
    <font>
      <b/>
      <sz val="8"/>
      <color indexed="10"/>
      <name val="Calibri"/>
      <family val="2"/>
    </font>
    <font>
      <b/>
      <sz val="10"/>
      <color indexed="10"/>
      <name val="Calibri"/>
      <family val="2"/>
    </font>
    <font>
      <sz val="10"/>
      <color indexed="10"/>
      <name val="Calibri"/>
      <family val="2"/>
    </font>
    <font>
      <b/>
      <sz val="11"/>
      <name val="Calibri"/>
      <family val="2"/>
    </font>
    <font>
      <sz val="14"/>
      <color indexed="10"/>
      <name val="Calibri"/>
      <family val="2"/>
    </font>
    <font>
      <b/>
      <sz val="9"/>
      <color indexed="9"/>
      <name val="Calibri"/>
      <family val="2"/>
    </font>
    <font>
      <u val="single"/>
      <sz val="7"/>
      <color indexed="12"/>
      <name val="Calibri"/>
      <family val="2"/>
    </font>
    <font>
      <b/>
      <sz val="11"/>
      <color indexed="10"/>
      <name val="Calibri"/>
      <family val="2"/>
    </font>
    <font>
      <sz val="7"/>
      <color indexed="22"/>
      <name val="Calibri"/>
      <family val="2"/>
    </font>
    <font>
      <b/>
      <sz val="7"/>
      <color indexed="22"/>
      <name val="Calibri"/>
      <family val="2"/>
    </font>
    <font>
      <sz val="10"/>
      <name val="MS Sans Serif"/>
      <family val="2"/>
    </font>
    <font>
      <sz val="8"/>
      <name val="Helv"/>
      <family val="0"/>
    </font>
    <font>
      <sz val="7"/>
      <name val="Arial"/>
      <family val="2"/>
    </font>
    <font>
      <sz val="10"/>
      <color indexed="8"/>
      <name val="Arial"/>
      <family val="2"/>
    </font>
    <font>
      <i/>
      <sz val="7"/>
      <color indexed="22"/>
      <name val="Calibri"/>
      <family val="2"/>
    </font>
    <font>
      <b/>
      <sz val="8"/>
      <color indexed="8"/>
      <name val="Arial"/>
      <family val="2"/>
    </font>
    <font>
      <sz val="6.5"/>
      <name val="Calibri"/>
      <family val="2"/>
    </font>
    <font>
      <b/>
      <sz val="6.5"/>
      <name val="Calibri"/>
      <family val="2"/>
    </font>
    <font>
      <sz val="2"/>
      <name val="Calibri"/>
      <family val="2"/>
    </font>
    <font>
      <b/>
      <sz val="2"/>
      <name val="Calibri"/>
      <family val="2"/>
    </font>
    <font>
      <i/>
      <sz val="6.5"/>
      <name val="Calibri"/>
      <family val="2"/>
    </font>
    <font>
      <b/>
      <sz val="9"/>
      <color indexed="10"/>
      <name val="Calibri"/>
      <family val="2"/>
    </font>
    <font>
      <b/>
      <sz val="10"/>
      <color indexed="8"/>
      <name val="Calibri"/>
      <family val="2"/>
    </font>
    <font>
      <i/>
      <sz val="10"/>
      <color indexed="8"/>
      <name val="Calibri"/>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8"/>
      <color indexed="12"/>
      <name val="Calibri"/>
      <family val="2"/>
    </font>
    <font>
      <sz val="7"/>
      <color indexed="55"/>
      <name val="Calibri"/>
      <family val="2"/>
    </font>
    <font>
      <b/>
      <sz val="7"/>
      <color indexed="55"/>
      <name val="Calibri"/>
      <family val="2"/>
    </font>
    <font>
      <b/>
      <sz val="7"/>
      <color indexed="17"/>
      <name val="Calibri"/>
      <family val="2"/>
    </font>
    <font>
      <sz val="11"/>
      <color indexed="10"/>
      <name val="Arial Black"/>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7"/>
      <color theme="1"/>
      <name val="Calibri"/>
      <family val="2"/>
    </font>
    <font>
      <b/>
      <sz val="7"/>
      <color theme="1"/>
      <name val="Calibri"/>
      <family val="2"/>
    </font>
    <font>
      <sz val="7"/>
      <color rgb="FFFF0000"/>
      <name val="Calibri"/>
      <family val="2"/>
    </font>
    <font>
      <b/>
      <sz val="8"/>
      <color rgb="FF0000FF"/>
      <name val="Calibri"/>
      <family val="2"/>
    </font>
    <font>
      <sz val="7"/>
      <color theme="0" tint="-0.24997000396251678"/>
      <name val="Calibri"/>
      <family val="2"/>
    </font>
    <font>
      <b/>
      <sz val="7"/>
      <color theme="0" tint="-0.24997000396251678"/>
      <name val="Calibri"/>
      <family val="2"/>
    </font>
    <font>
      <sz val="8"/>
      <color rgb="FFFF0000"/>
      <name val="Calibri"/>
      <family val="2"/>
    </font>
    <font>
      <b/>
      <sz val="7"/>
      <color rgb="FF00B050"/>
      <name val="Calibri"/>
      <family val="2"/>
    </font>
    <font>
      <b/>
      <sz val="7"/>
      <color rgb="FFFF0000"/>
      <name val="Calibri"/>
      <family val="2"/>
    </font>
    <font>
      <i/>
      <sz val="7"/>
      <color theme="1"/>
      <name val="Calibri"/>
      <family val="2"/>
    </font>
    <font>
      <b/>
      <sz val="9"/>
      <color rgb="FFFF0000"/>
      <name val="Calibri"/>
      <family val="2"/>
    </font>
    <font>
      <i/>
      <sz val="7"/>
      <color rgb="FFFF0000"/>
      <name val="Calibri"/>
      <family val="2"/>
    </font>
    <font>
      <sz val="10"/>
      <color theme="1"/>
      <name val="Calibri"/>
      <family val="2"/>
    </font>
    <font>
      <b/>
      <sz val="10"/>
      <color theme="1"/>
      <name val="Calibri"/>
      <family val="2"/>
    </font>
    <font>
      <i/>
      <sz val="10"/>
      <color theme="1"/>
      <name val="Calibri"/>
      <family val="2"/>
    </font>
    <font>
      <b/>
      <sz val="10"/>
      <color theme="0"/>
      <name val="Calibri"/>
      <family val="2"/>
    </font>
    <font>
      <b/>
      <sz val="8"/>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00AEEF"/>
        <bgColor indexed="64"/>
      </patternFill>
    </fill>
    <fill>
      <patternFill patternType="solid">
        <fgColor rgb="FFA3E7FF"/>
        <bgColor indexed="64"/>
      </patternFill>
    </fill>
    <fill>
      <patternFill patternType="solid">
        <fgColor rgb="FFA3E7FF"/>
        <bgColor indexed="64"/>
      </patternFill>
    </fill>
    <fill>
      <patternFill patternType="solid">
        <fgColor rgb="FF00AEE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n"/>
    </border>
    <border>
      <left style="medium">
        <color rgb="FF00AEEF"/>
      </left>
      <right style="medium">
        <color rgb="FF00AEEF"/>
      </right>
      <top style="medium">
        <color rgb="FF00AEEF"/>
      </top>
      <bottom/>
    </border>
    <border>
      <left style="medium">
        <color rgb="FF00AEEF"/>
      </left>
      <right style="medium">
        <color rgb="FF00AEEF"/>
      </right>
      <top/>
      <bottom/>
    </border>
    <border>
      <left style="medium">
        <color rgb="FF00AEEF"/>
      </left>
      <right style="medium">
        <color rgb="FF00AEEF"/>
      </right>
      <top/>
      <bottom style="medium">
        <color rgb="FF00AEEF"/>
      </bottom>
    </border>
    <border>
      <left/>
      <right/>
      <top/>
      <bottom style="medium">
        <color rgb="FF00AEEF"/>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0" borderId="0" applyNumberFormat="0" applyFill="0" applyBorder="0" applyAlignment="0" applyProtection="0"/>
    <xf numFmtId="0" fontId="93" fillId="26" borderId="1" applyNumberFormat="0" applyAlignment="0" applyProtection="0"/>
    <xf numFmtId="0" fontId="94" fillId="0" borderId="2" applyNumberFormat="0" applyFill="0" applyAlignment="0" applyProtection="0"/>
    <xf numFmtId="0" fontId="1" fillId="27" borderId="3" applyNumberFormat="0" applyFont="0" applyAlignment="0" applyProtection="0"/>
    <xf numFmtId="0" fontId="95" fillId="28" borderId="1" applyNumberFormat="0" applyAlignment="0" applyProtection="0"/>
    <xf numFmtId="0" fontId="96" fillId="2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86" fontId="1" fillId="0" borderId="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7" fillId="30" borderId="0" applyNumberFormat="0" applyBorder="0" applyAlignment="0" applyProtection="0"/>
    <xf numFmtId="0" fontId="2" fillId="0" borderId="0">
      <alignment/>
      <protection/>
    </xf>
    <xf numFmtId="0" fontId="1" fillId="0" borderId="0">
      <alignment/>
      <protection/>
    </xf>
    <xf numFmtId="0" fontId="2" fillId="0" borderId="0" applyNumberFormat="0" applyFill="0" applyBorder="0" applyAlignment="0" applyProtection="0"/>
    <xf numFmtId="0" fontId="2" fillId="0" borderId="0">
      <alignment/>
      <protection/>
    </xf>
    <xf numFmtId="0" fontId="59" fillId="0" borderId="0">
      <alignment/>
      <protection/>
    </xf>
    <xf numFmtId="0" fontId="2" fillId="0" borderId="0">
      <alignment/>
      <protection/>
    </xf>
    <xf numFmtId="0" fontId="58" fillId="0" borderId="0">
      <alignment/>
      <protection/>
    </xf>
    <xf numFmtId="0" fontId="2" fillId="0" borderId="0">
      <alignment/>
      <protection/>
    </xf>
    <xf numFmtId="0" fontId="3" fillId="0" borderId="0">
      <alignment/>
      <protection/>
    </xf>
    <xf numFmtId="0" fontId="2"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0" fontId="98" fillId="31" borderId="0" applyNumberFormat="0" applyBorder="0" applyAlignment="0" applyProtection="0"/>
    <xf numFmtId="0" fontId="99" fillId="26" borderId="4"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5" applyNumberFormat="0" applyFill="0" applyAlignment="0" applyProtection="0"/>
    <xf numFmtId="0" fontId="103" fillId="0" borderId="6" applyNumberFormat="0" applyFill="0" applyAlignment="0" applyProtection="0"/>
    <xf numFmtId="0" fontId="104" fillId="0" borderId="7" applyNumberFormat="0" applyFill="0" applyAlignment="0" applyProtection="0"/>
    <xf numFmtId="0" fontId="104" fillId="0" borderId="0" applyNumberFormat="0" applyFill="0" applyBorder="0" applyAlignment="0" applyProtection="0"/>
    <xf numFmtId="0" fontId="105" fillId="0" borderId="8" applyNumberFormat="0" applyFill="0" applyAlignment="0" applyProtection="0"/>
    <xf numFmtId="0" fontId="106" fillId="32" borderId="9" applyNumberFormat="0" applyAlignment="0" applyProtection="0"/>
  </cellStyleXfs>
  <cellXfs count="1035">
    <xf numFmtId="0" fontId="0" fillId="0" borderId="0" xfId="0" applyFont="1" applyAlignment="1">
      <alignment/>
    </xf>
    <xf numFmtId="0" fontId="7" fillId="0" borderId="0" xfId="0" applyFont="1" applyAlignment="1">
      <alignment/>
    </xf>
    <xf numFmtId="0" fontId="12" fillId="0" borderId="0" xfId="0" applyFont="1" applyAlignment="1">
      <alignment/>
    </xf>
    <xf numFmtId="0" fontId="13" fillId="0" borderId="0" xfId="0" applyFont="1" applyAlignment="1">
      <alignment vertical="center"/>
    </xf>
    <xf numFmtId="0" fontId="7" fillId="0" borderId="0" xfId="0" applyFont="1" applyAlignment="1">
      <alignment horizontal="right"/>
    </xf>
    <xf numFmtId="0" fontId="13" fillId="0" borderId="0" xfId="0" applyFont="1" applyAlignment="1">
      <alignment/>
    </xf>
    <xf numFmtId="0" fontId="7" fillId="0" borderId="0" xfId="0" applyFont="1" applyBorder="1" applyAlignment="1">
      <alignment horizontal="right" vertical="center"/>
    </xf>
    <xf numFmtId="0" fontId="7" fillId="0" borderId="0" xfId="0" applyFont="1" applyBorder="1" applyAlignment="1">
      <alignment horizontal="right" vertical="center" wrapText="1"/>
    </xf>
    <xf numFmtId="0" fontId="13" fillId="0" borderId="0" xfId="0" applyFont="1" applyFill="1" applyBorder="1" applyAlignment="1">
      <alignment horizontal="right" vertical="center" wrapText="1"/>
    </xf>
    <xf numFmtId="0" fontId="7" fillId="0" borderId="0" xfId="0" applyFont="1" applyBorder="1" applyAlignment="1">
      <alignment horizontal="center" vertical="center"/>
    </xf>
    <xf numFmtId="0" fontId="7" fillId="0" borderId="0" xfId="0" applyFont="1" applyFill="1" applyBorder="1" applyAlignment="1">
      <alignment/>
    </xf>
    <xf numFmtId="3" fontId="7" fillId="0" borderId="0" xfId="0" applyNumberFormat="1" applyFont="1" applyAlignment="1">
      <alignment/>
    </xf>
    <xf numFmtId="0" fontId="9" fillId="0" borderId="0" xfId="0" applyFont="1" applyAlignment="1">
      <alignment/>
    </xf>
    <xf numFmtId="3" fontId="7" fillId="0" borderId="0" xfId="0" applyNumberFormat="1" applyFont="1" applyFill="1" applyBorder="1" applyAlignment="1">
      <alignment/>
    </xf>
    <xf numFmtId="0" fontId="4" fillId="0" borderId="0" xfId="0" applyFont="1" applyBorder="1" applyAlignment="1">
      <alignment/>
    </xf>
    <xf numFmtId="0" fontId="7"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xf>
    <xf numFmtId="168" fontId="8" fillId="0" borderId="0" xfId="0" applyNumberFormat="1" applyFont="1" applyAlignment="1">
      <alignment/>
    </xf>
    <xf numFmtId="0" fontId="7" fillId="0" borderId="0" xfId="0" applyFont="1" applyFill="1" applyBorder="1" applyAlignment="1">
      <alignment/>
    </xf>
    <xf numFmtId="0" fontId="0" fillId="0" borderId="0" xfId="0" applyAlignment="1">
      <alignment vertical="center"/>
    </xf>
    <xf numFmtId="0" fontId="4"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Border="1" applyAlignment="1">
      <alignment horizontal="left" vertical="center"/>
    </xf>
    <xf numFmtId="0" fontId="7" fillId="0" borderId="0" xfId="0" applyFont="1" applyBorder="1" applyAlignment="1">
      <alignment/>
    </xf>
    <xf numFmtId="0" fontId="7" fillId="0" borderId="0" xfId="0" applyFont="1" applyBorder="1" applyAlignment="1">
      <alignment horizontal="right" vertical="center" wrapText="1"/>
    </xf>
    <xf numFmtId="0" fontId="13" fillId="0" borderId="0" xfId="0" applyFont="1" applyFill="1" applyBorder="1" applyAlignment="1">
      <alignment horizontal="right" vertical="center" wrapText="1"/>
    </xf>
    <xf numFmtId="0" fontId="7" fillId="0" borderId="0" xfId="0" applyFont="1" applyBorder="1" applyAlignment="1">
      <alignment horizontal="center" vertical="center" wrapText="1"/>
    </xf>
    <xf numFmtId="3" fontId="7" fillId="0" borderId="0" xfId="0" applyNumberFormat="1" applyFont="1" applyBorder="1" applyAlignment="1">
      <alignment vertical="center"/>
    </xf>
    <xf numFmtId="3" fontId="13" fillId="0" borderId="0" xfId="0" applyNumberFormat="1" applyFont="1" applyFill="1" applyBorder="1" applyAlignment="1">
      <alignment vertical="center"/>
    </xf>
    <xf numFmtId="0" fontId="13" fillId="0" borderId="0" xfId="0" applyFont="1" applyBorder="1" applyAlignment="1">
      <alignment/>
    </xf>
    <xf numFmtId="3" fontId="7" fillId="0" borderId="10" xfId="0" applyNumberFormat="1" applyFont="1" applyBorder="1" applyAlignment="1">
      <alignment vertical="center"/>
    </xf>
    <xf numFmtId="3" fontId="13" fillId="0" borderId="10" xfId="0" applyNumberFormat="1" applyFont="1" applyFill="1" applyBorder="1" applyAlignment="1">
      <alignment vertical="center"/>
    </xf>
    <xf numFmtId="2" fontId="9" fillId="0" borderId="0" xfId="0" applyNumberFormat="1" applyFont="1" applyFill="1" applyBorder="1" applyAlignment="1" applyProtection="1">
      <alignment horizontal="center" vertical="center"/>
      <protection/>
    </xf>
    <xf numFmtId="2" fontId="8" fillId="0" borderId="0" xfId="0" applyNumberFormat="1" applyFont="1" applyFill="1" applyBorder="1" applyAlignment="1" applyProtection="1">
      <alignment horizontal="center" vertical="center"/>
      <protection/>
    </xf>
    <xf numFmtId="2" fontId="9" fillId="0" borderId="0" xfId="0" applyNumberFormat="1" applyFont="1" applyFill="1" applyBorder="1" applyAlignment="1" applyProtection="1">
      <alignment vertical="center"/>
      <protection/>
    </xf>
    <xf numFmtId="3" fontId="9" fillId="0" borderId="0" xfId="0" applyNumberFormat="1" applyFont="1" applyFill="1" applyBorder="1" applyAlignment="1" applyProtection="1">
      <alignment vertical="center"/>
      <protection/>
    </xf>
    <xf numFmtId="0" fontId="9" fillId="0" borderId="0" xfId="0" applyFont="1" applyBorder="1" applyAlignment="1">
      <alignment/>
    </xf>
    <xf numFmtId="170" fontId="7" fillId="0" borderId="10" xfId="0" applyNumberFormat="1" applyFont="1" applyBorder="1" applyAlignment="1">
      <alignment vertical="center"/>
    </xf>
    <xf numFmtId="3" fontId="9" fillId="0" borderId="0" xfId="56" applyNumberFormat="1" applyFont="1" applyFill="1" applyBorder="1" applyAlignment="1">
      <alignment vertical="center"/>
    </xf>
    <xf numFmtId="3" fontId="8" fillId="0" borderId="0" xfId="56" applyNumberFormat="1" applyFont="1" applyFill="1" applyBorder="1" applyAlignment="1">
      <alignment vertical="center"/>
    </xf>
    <xf numFmtId="3" fontId="9" fillId="0" borderId="0" xfId="0" applyNumberFormat="1" applyFont="1" applyFill="1" applyBorder="1" applyAlignment="1">
      <alignment vertical="center"/>
    </xf>
    <xf numFmtId="3" fontId="7" fillId="0" borderId="0" xfId="0" applyNumberFormat="1" applyFont="1" applyBorder="1" applyAlignment="1">
      <alignment horizontal="right" vertical="center"/>
    </xf>
    <xf numFmtId="0" fontId="7" fillId="0" borderId="0" xfId="0" applyFont="1" applyBorder="1" applyAlignment="1">
      <alignment vertical="center"/>
    </xf>
    <xf numFmtId="0" fontId="15" fillId="0" borderId="0" xfId="0" applyFont="1" applyBorder="1" applyAlignment="1">
      <alignment vertical="center"/>
    </xf>
    <xf numFmtId="0" fontId="13" fillId="0" borderId="0" xfId="0" applyFont="1" applyAlignment="1">
      <alignment horizontal="left" vertical="center"/>
    </xf>
    <xf numFmtId="165" fontId="7" fillId="0" borderId="0" xfId="0" applyNumberFormat="1" applyFont="1" applyAlignment="1">
      <alignment horizontal="center" vertical="center"/>
    </xf>
    <xf numFmtId="165" fontId="13" fillId="0" borderId="0" xfId="0" applyNumberFormat="1" applyFont="1" applyAlignment="1">
      <alignment horizontal="center" vertical="center"/>
    </xf>
    <xf numFmtId="165" fontId="7" fillId="0" borderId="0" xfId="0" applyNumberFormat="1" applyFont="1" applyBorder="1" applyAlignment="1">
      <alignment horizontal="right" vertical="center" wrapText="1"/>
    </xf>
    <xf numFmtId="165" fontId="13" fillId="0" borderId="0" xfId="0" applyNumberFormat="1" applyFont="1" applyBorder="1" applyAlignment="1">
      <alignment horizontal="right" vertical="center" wrapText="1"/>
    </xf>
    <xf numFmtId="0" fontId="13" fillId="0" borderId="10" xfId="0" applyFont="1" applyBorder="1" applyAlignment="1">
      <alignment horizontal="left" vertical="center"/>
    </xf>
    <xf numFmtId="165" fontId="7" fillId="0" borderId="10" xfId="0" applyNumberFormat="1" applyFont="1" applyBorder="1" applyAlignment="1">
      <alignment horizontal="right" vertical="center"/>
    </xf>
    <xf numFmtId="0" fontId="7" fillId="0" borderId="0" xfId="0" applyFont="1" applyBorder="1" applyAlignment="1">
      <alignment horizontal="left" vertical="center"/>
    </xf>
    <xf numFmtId="165" fontId="7" fillId="0" borderId="0" xfId="0" applyNumberFormat="1" applyFont="1" applyBorder="1" applyAlignment="1">
      <alignment horizontal="center" vertical="center"/>
    </xf>
    <xf numFmtId="165" fontId="13" fillId="0" borderId="0" xfId="0" applyNumberFormat="1" applyFont="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Border="1" applyAlignment="1">
      <alignment horizontal="left" vertical="center" wrapText="1"/>
    </xf>
    <xf numFmtId="0" fontId="9" fillId="0" borderId="0" xfId="0" applyFont="1" applyAlignment="1">
      <alignment horizontal="left" vertical="center"/>
    </xf>
    <xf numFmtId="165" fontId="9" fillId="0" borderId="0" xfId="0" applyNumberFormat="1" applyFont="1" applyBorder="1" applyAlignment="1">
      <alignment horizontal="right" vertical="center"/>
    </xf>
    <xf numFmtId="0" fontId="7" fillId="0" borderId="0" xfId="0" applyFont="1" applyAlignment="1">
      <alignment horizontal="left" vertical="center"/>
    </xf>
    <xf numFmtId="165" fontId="7" fillId="0" borderId="10" xfId="0" applyNumberFormat="1" applyFont="1" applyBorder="1" applyAlignment="1">
      <alignment horizontal="center" vertical="center"/>
    </xf>
    <xf numFmtId="165" fontId="13" fillId="0" borderId="10" xfId="0" applyNumberFormat="1" applyFont="1" applyBorder="1" applyAlignment="1">
      <alignment horizontal="center" vertical="center"/>
    </xf>
    <xf numFmtId="0" fontId="7" fillId="0" borderId="0" xfId="63" applyFont="1" applyBorder="1" applyAlignment="1">
      <alignment horizontal="left" vertical="center"/>
      <protection/>
    </xf>
    <xf numFmtId="165" fontId="13" fillId="0" borderId="0" xfId="0" applyNumberFormat="1" applyFont="1" applyBorder="1" applyAlignment="1">
      <alignment horizontal="left" vertical="center"/>
    </xf>
    <xf numFmtId="0" fontId="12" fillId="0" borderId="0" xfId="0" applyFont="1" applyAlignment="1">
      <alignment/>
    </xf>
    <xf numFmtId="3" fontId="7" fillId="0" borderId="0" xfId="0" applyNumberFormat="1" applyFont="1" applyBorder="1" applyAlignment="1">
      <alignment horizontal="right" vertical="center" wrapText="1"/>
    </xf>
    <xf numFmtId="3" fontId="7" fillId="0" borderId="0" xfId="0" applyNumberFormat="1" applyFont="1" applyAlignment="1">
      <alignment vertical="center"/>
    </xf>
    <xf numFmtId="3" fontId="13" fillId="0" borderId="0" xfId="0" applyNumberFormat="1" applyFont="1" applyAlignment="1">
      <alignment vertical="center"/>
    </xf>
    <xf numFmtId="3" fontId="13" fillId="0" borderId="0" xfId="0" applyNumberFormat="1" applyFont="1" applyBorder="1" applyAlignment="1">
      <alignment vertical="center"/>
    </xf>
    <xf numFmtId="3" fontId="7" fillId="0" borderId="0" xfId="0" applyNumberFormat="1" applyFont="1" applyAlignment="1">
      <alignment/>
    </xf>
    <xf numFmtId="3" fontId="13" fillId="0" borderId="0" xfId="0" applyNumberFormat="1" applyFont="1" applyAlignment="1">
      <alignment/>
    </xf>
    <xf numFmtId="0" fontId="7" fillId="0" borderId="0" xfId="0" applyFont="1" applyAlignment="1">
      <alignment/>
    </xf>
    <xf numFmtId="0" fontId="13" fillId="0" borderId="0" xfId="0" applyFont="1" applyAlignment="1">
      <alignment/>
    </xf>
    <xf numFmtId="0" fontId="7" fillId="0" borderId="0" xfId="0" applyFont="1" applyAlignment="1">
      <alignment/>
    </xf>
    <xf numFmtId="0" fontId="13" fillId="0" borderId="0" xfId="0" applyFont="1" applyAlignment="1">
      <alignment vertical="center"/>
    </xf>
    <xf numFmtId="0" fontId="7" fillId="0" borderId="0" xfId="0" applyFont="1" applyAlignment="1">
      <alignment horizontal="right"/>
    </xf>
    <xf numFmtId="0" fontId="7" fillId="0" borderId="0" xfId="0" applyFont="1" applyBorder="1" applyAlignment="1">
      <alignment horizontal="right" vertical="center"/>
    </xf>
    <xf numFmtId="0" fontId="7" fillId="0" borderId="0" xfId="0" applyFont="1" applyFill="1" applyBorder="1" applyAlignment="1">
      <alignment horizontal="right" vertical="center" wrapText="1"/>
    </xf>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7" fillId="0" borderId="0" xfId="0" applyFont="1" applyFill="1" applyAlignment="1">
      <alignment vertical="center"/>
    </xf>
    <xf numFmtId="0" fontId="7" fillId="0" borderId="0" xfId="0" applyFont="1" applyFill="1" applyAlignment="1">
      <alignment/>
    </xf>
    <xf numFmtId="0" fontId="13" fillId="0" borderId="0" xfId="0" applyFont="1" applyFill="1" applyAlignment="1">
      <alignment/>
    </xf>
    <xf numFmtId="3" fontId="7" fillId="0" borderId="0" xfId="0" applyNumberFormat="1" applyFont="1" applyFill="1" applyBorder="1" applyAlignment="1">
      <alignment horizontal="right" vertical="center"/>
    </xf>
    <xf numFmtId="0" fontId="13" fillId="0" borderId="0" xfId="0" applyFont="1" applyFill="1" applyBorder="1" applyAlignment="1">
      <alignment vertical="center"/>
    </xf>
    <xf numFmtId="0" fontId="4" fillId="0" borderId="0" xfId="0" applyFont="1" applyBorder="1" applyAlignment="1">
      <alignment horizontal="left" vertical="center" wrapText="1"/>
    </xf>
    <xf numFmtId="3" fontId="7" fillId="0" borderId="0" xfId="0" applyNumberFormat="1" applyFont="1" applyAlignment="1" quotePrefix="1">
      <alignment vertical="center"/>
    </xf>
    <xf numFmtId="3" fontId="13" fillId="0" borderId="0" xfId="0" applyNumberFormat="1" applyFont="1" applyFill="1" applyAlignment="1" quotePrefix="1">
      <alignment vertical="center"/>
    </xf>
    <xf numFmtId="168" fontId="7" fillId="0" borderId="0" xfId="65" applyNumberFormat="1" applyFont="1" applyFill="1" applyAlignment="1" quotePrefix="1">
      <alignment vertical="center"/>
    </xf>
    <xf numFmtId="3" fontId="7" fillId="0" borderId="0" xfId="49" applyNumberFormat="1" applyFont="1" applyFill="1" applyBorder="1" applyAlignment="1">
      <alignment vertical="center"/>
    </xf>
    <xf numFmtId="3" fontId="13" fillId="0" borderId="0" xfId="49" applyNumberFormat="1" applyFont="1" applyFill="1" applyBorder="1" applyAlignment="1">
      <alignment vertical="center"/>
    </xf>
    <xf numFmtId="0" fontId="7" fillId="0" borderId="0" xfId="0" applyFont="1" applyAlignment="1">
      <alignment horizontal="left" wrapText="1"/>
    </xf>
    <xf numFmtId="3" fontId="7" fillId="0" borderId="0" xfId="0" applyNumberFormat="1" applyFont="1" applyFill="1" applyBorder="1" applyAlignment="1">
      <alignment vertical="center"/>
    </xf>
    <xf numFmtId="0" fontId="9" fillId="0" borderId="0" xfId="0" applyFont="1" applyAlignment="1">
      <alignment/>
    </xf>
    <xf numFmtId="0" fontId="13" fillId="0" borderId="0" xfId="0" applyFont="1" applyFill="1" applyAlignment="1">
      <alignment/>
    </xf>
    <xf numFmtId="0" fontId="6" fillId="0" borderId="0" xfId="0" applyFont="1" applyAlignment="1">
      <alignment vertical="center"/>
    </xf>
    <xf numFmtId="3" fontId="7" fillId="0" borderId="0" xfId="0" applyNumberFormat="1" applyFont="1" applyFill="1" applyBorder="1" applyAlignment="1">
      <alignment/>
    </xf>
    <xf numFmtId="3" fontId="13" fillId="0" borderId="0" xfId="0" applyNumberFormat="1" applyFont="1" applyAlignment="1">
      <alignment horizontal="right" vertical="center"/>
    </xf>
    <xf numFmtId="3" fontId="7"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xf>
    <xf numFmtId="3" fontId="7" fillId="0" borderId="0" xfId="0" applyNumberFormat="1" applyFont="1" applyFill="1" applyBorder="1" applyAlignment="1">
      <alignment horizontal="right" vertical="center" wrapText="1"/>
    </xf>
    <xf numFmtId="0" fontId="4" fillId="0" borderId="0" xfId="0" applyFont="1" applyAlignment="1">
      <alignment/>
    </xf>
    <xf numFmtId="0" fontId="9" fillId="0" borderId="0" xfId="0" applyFont="1" applyAlignment="1">
      <alignment/>
    </xf>
    <xf numFmtId="0" fontId="13" fillId="0" borderId="0" xfId="0" applyFont="1" applyFill="1" applyBorder="1" applyAlignment="1">
      <alignment/>
    </xf>
    <xf numFmtId="49" fontId="7" fillId="0" borderId="0" xfId="0" applyNumberFormat="1" applyFont="1" applyFill="1" applyAlignment="1">
      <alignment horizontal="right" vertical="center" wrapText="1"/>
    </xf>
    <xf numFmtId="3" fontId="7" fillId="0" borderId="0" xfId="0" applyNumberFormat="1" applyFont="1" applyFill="1" applyAlignment="1">
      <alignment vertical="center"/>
    </xf>
    <xf numFmtId="3" fontId="13" fillId="0" borderId="0" xfId="0" applyNumberFormat="1" applyFont="1" applyFill="1" applyAlignment="1">
      <alignment vertical="center"/>
    </xf>
    <xf numFmtId="165" fontId="7" fillId="0" borderId="0" xfId="62" applyNumberFormat="1" applyFont="1">
      <alignment/>
      <protection/>
    </xf>
    <xf numFmtId="0" fontId="7" fillId="0" borderId="0" xfId="0" applyFont="1" applyFill="1" applyAlignment="1">
      <alignment/>
    </xf>
    <xf numFmtId="0" fontId="6" fillId="0" borderId="0" xfId="0" applyFont="1" applyFill="1" applyBorder="1" applyAlignment="1">
      <alignment vertical="center"/>
    </xf>
    <xf numFmtId="3" fontId="9" fillId="0" borderId="0" xfId="0" applyNumberFormat="1" applyFont="1" applyFill="1" applyAlignment="1">
      <alignment vertical="center"/>
    </xf>
    <xf numFmtId="3" fontId="8" fillId="0" borderId="0" xfId="0" applyNumberFormat="1" applyFont="1" applyFill="1" applyAlignment="1">
      <alignment vertical="center"/>
    </xf>
    <xf numFmtId="165" fontId="7" fillId="0" borderId="0" xfId="0" applyNumberFormat="1" applyFont="1" applyAlignment="1">
      <alignment/>
    </xf>
    <xf numFmtId="165" fontId="7" fillId="0" borderId="0" xfId="0" applyNumberFormat="1" applyFont="1" applyAlignment="1">
      <alignment horizontal="right"/>
    </xf>
    <xf numFmtId="0" fontId="8" fillId="0" borderId="0" xfId="0" applyFont="1" applyBorder="1" applyAlignment="1">
      <alignment/>
    </xf>
    <xf numFmtId="0" fontId="9" fillId="0" borderId="0" xfId="0" applyFont="1" applyFill="1" applyAlignment="1">
      <alignment/>
    </xf>
    <xf numFmtId="3" fontId="13" fillId="0" borderId="0" xfId="0" applyNumberFormat="1" applyFont="1" applyBorder="1" applyAlignment="1">
      <alignment horizontal="right" vertical="center"/>
    </xf>
    <xf numFmtId="0" fontId="7" fillId="0" borderId="0" xfId="0" applyFont="1" applyFill="1" applyAlignment="1">
      <alignment horizontal="left" vertical="center"/>
    </xf>
    <xf numFmtId="168" fontId="9" fillId="0" borderId="0" xfId="64" applyNumberFormat="1" applyFont="1" applyAlignment="1">
      <alignment/>
    </xf>
    <xf numFmtId="3" fontId="7" fillId="0" borderId="0" xfId="0" applyNumberFormat="1" applyFont="1" applyFill="1" applyAlignment="1">
      <alignment horizontal="right" vertical="center"/>
    </xf>
    <xf numFmtId="3" fontId="7" fillId="0" borderId="0" xfId="0" applyNumberFormat="1" applyFont="1" applyFill="1" applyAlignment="1">
      <alignment/>
    </xf>
    <xf numFmtId="168" fontId="7" fillId="0" borderId="0" xfId="0" applyNumberFormat="1" applyFont="1" applyAlignment="1">
      <alignment/>
    </xf>
    <xf numFmtId="3" fontId="9" fillId="0" borderId="0" xfId="64" applyNumberFormat="1" applyFont="1" applyAlignment="1">
      <alignment/>
    </xf>
    <xf numFmtId="3" fontId="8" fillId="0" borderId="0" xfId="64" applyNumberFormat="1" applyFont="1" applyAlignment="1">
      <alignment/>
    </xf>
    <xf numFmtId="0" fontId="13" fillId="0" borderId="0" xfId="0" applyFont="1" applyBorder="1" applyAlignment="1">
      <alignment vertical="center"/>
    </xf>
    <xf numFmtId="3" fontId="13" fillId="0" borderId="0" xfId="0" applyNumberFormat="1" applyFont="1" applyBorder="1" applyAlignment="1" quotePrefix="1">
      <alignment vertical="center"/>
    </xf>
    <xf numFmtId="0" fontId="17" fillId="0" borderId="0" xfId="0" applyFont="1" applyAlignment="1">
      <alignment vertical="center"/>
    </xf>
    <xf numFmtId="0" fontId="19" fillId="0" borderId="0" xfId="0" applyFont="1" applyAlignment="1">
      <alignment vertical="center"/>
    </xf>
    <xf numFmtId="0" fontId="17" fillId="0" borderId="0" xfId="0" applyFont="1" applyAlignment="1">
      <alignment horizontal="right" vertical="center"/>
    </xf>
    <xf numFmtId="0" fontId="16" fillId="0" borderId="0" xfId="0" applyFont="1" applyAlignment="1">
      <alignment vertical="center"/>
    </xf>
    <xf numFmtId="0" fontId="0" fillId="0" borderId="0" xfId="0" applyFill="1" applyAlignment="1">
      <alignment vertical="center"/>
    </xf>
    <xf numFmtId="168" fontId="13" fillId="0" borderId="0" xfId="65" applyNumberFormat="1" applyFont="1" applyFill="1" applyBorder="1" applyAlignment="1">
      <alignment horizontal="right" vertical="center"/>
    </xf>
    <xf numFmtId="0" fontId="9" fillId="0" borderId="0" xfId="0" applyFont="1" applyFill="1" applyBorder="1" applyAlignment="1">
      <alignment horizontal="left" vertical="center" wrapText="1"/>
    </xf>
    <xf numFmtId="0" fontId="22"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49" fontId="7" fillId="0" borderId="0" xfId="0" applyNumberFormat="1" applyFont="1" applyFill="1" applyAlignment="1">
      <alignment textRotation="90"/>
    </xf>
    <xf numFmtId="0" fontId="7" fillId="0" borderId="0" xfId="0" applyFont="1" applyFill="1" applyAlignment="1">
      <alignment textRotation="90"/>
    </xf>
    <xf numFmtId="165" fontId="7" fillId="0" borderId="0" xfId="0" applyNumberFormat="1" applyFont="1" applyFill="1" applyAlignment="1">
      <alignment/>
    </xf>
    <xf numFmtId="168" fontId="9" fillId="0" borderId="0" xfId="0" applyNumberFormat="1" applyFont="1" applyFill="1" applyAlignment="1">
      <alignment/>
    </xf>
    <xf numFmtId="168" fontId="9" fillId="0" borderId="0" xfId="0" applyNumberFormat="1" applyFont="1" applyAlignment="1">
      <alignment/>
    </xf>
    <xf numFmtId="0" fontId="13" fillId="0" borderId="0" xfId="0" applyFont="1" applyAlignment="1">
      <alignment horizontal="right" vertical="center" wrapText="1"/>
    </xf>
    <xf numFmtId="0" fontId="6" fillId="0" borderId="0" xfId="0" applyFont="1" applyFill="1" applyBorder="1" applyAlignment="1">
      <alignment horizontal="left" vertical="center" wrapText="1"/>
    </xf>
    <xf numFmtId="0" fontId="9" fillId="0" borderId="0" xfId="0" applyFont="1" applyBorder="1" applyAlignment="1">
      <alignment horizontal="left" vertical="center"/>
    </xf>
    <xf numFmtId="0" fontId="9" fillId="0" borderId="0" xfId="0" applyFont="1" applyFill="1" applyBorder="1" applyAlignment="1">
      <alignment horizontal="left" vertical="center"/>
    </xf>
    <xf numFmtId="3" fontId="13" fillId="0" borderId="0" xfId="47" applyNumberFormat="1" applyFont="1" applyFill="1" applyBorder="1" applyAlignment="1">
      <alignment vertical="center"/>
    </xf>
    <xf numFmtId="3" fontId="18" fillId="0" borderId="0" xfId="0" applyNumberFormat="1" applyFont="1" applyFill="1" applyAlignment="1">
      <alignment horizontal="right" vertical="center"/>
    </xf>
    <xf numFmtId="0" fontId="4" fillId="0" borderId="0" xfId="0" applyFont="1" applyBorder="1" applyAlignment="1">
      <alignment vertical="center"/>
    </xf>
    <xf numFmtId="0" fontId="7" fillId="0" borderId="0" xfId="0" applyFont="1" applyFill="1" applyBorder="1" applyAlignment="1">
      <alignment horizontal="right" vertical="center"/>
    </xf>
    <xf numFmtId="49" fontId="7" fillId="0" borderId="0" xfId="0" applyNumberFormat="1" applyFont="1" applyFill="1" applyBorder="1" applyAlignment="1">
      <alignment horizontal="right" vertical="center" wrapText="1"/>
    </xf>
    <xf numFmtId="0" fontId="9" fillId="0" borderId="0" xfId="0" applyFont="1" applyFill="1" applyBorder="1" applyAlignment="1">
      <alignment/>
    </xf>
    <xf numFmtId="3" fontId="7" fillId="0" borderId="0" xfId="47" applyNumberFormat="1" applyFont="1" applyFill="1" applyBorder="1" applyAlignment="1">
      <alignment vertical="center"/>
    </xf>
    <xf numFmtId="168" fontId="7" fillId="0" borderId="0" xfId="64" applyNumberFormat="1" applyFont="1" applyFill="1" applyBorder="1" applyAlignment="1">
      <alignment vertical="center"/>
    </xf>
    <xf numFmtId="168" fontId="13" fillId="0" borderId="0" xfId="64" applyNumberFormat="1" applyFont="1" applyFill="1" applyBorder="1" applyAlignment="1">
      <alignment vertical="center"/>
    </xf>
    <xf numFmtId="167" fontId="15" fillId="0" borderId="0" xfId="0" applyNumberFormat="1" applyFont="1" applyFill="1" applyBorder="1" applyAlignment="1">
      <alignment vertical="center"/>
    </xf>
    <xf numFmtId="167" fontId="18" fillId="0" borderId="0" xfId="0" applyNumberFormat="1" applyFont="1" applyFill="1" applyBorder="1" applyAlignment="1">
      <alignment vertical="center"/>
    </xf>
    <xf numFmtId="3" fontId="15" fillId="0" borderId="0" xfId="47" applyNumberFormat="1" applyFont="1" applyFill="1" applyBorder="1" applyAlignment="1">
      <alignment vertical="center"/>
    </xf>
    <xf numFmtId="0" fontId="9" fillId="0" borderId="0" xfId="0" applyFont="1" applyFill="1" applyBorder="1" applyAlignment="1">
      <alignment vertical="center"/>
    </xf>
    <xf numFmtId="3" fontId="8" fillId="0" borderId="0" xfId="47" applyNumberFormat="1" applyFont="1" applyFill="1" applyBorder="1" applyAlignment="1">
      <alignment horizontal="right" vertical="center"/>
    </xf>
    <xf numFmtId="3" fontId="7" fillId="0" borderId="0" xfId="47" applyNumberFormat="1" applyFont="1" applyFill="1" applyBorder="1" applyAlignment="1">
      <alignment horizontal="right" vertical="center"/>
    </xf>
    <xf numFmtId="0" fontId="6" fillId="0" borderId="0" xfId="0" applyFont="1" applyBorder="1" applyAlignment="1">
      <alignment horizontal="left" vertical="center"/>
    </xf>
    <xf numFmtId="3" fontId="7" fillId="0" borderId="0" xfId="49" applyNumberFormat="1" applyFont="1" applyFill="1" applyBorder="1" applyAlignment="1">
      <alignment horizontal="right" vertical="center"/>
    </xf>
    <xf numFmtId="3" fontId="13" fillId="0" borderId="0" xfId="49" applyNumberFormat="1" applyFont="1" applyFill="1" applyBorder="1" applyAlignment="1">
      <alignment horizontal="right" vertical="center"/>
    </xf>
    <xf numFmtId="0" fontId="9" fillId="0" borderId="0" xfId="0" applyFont="1" applyAlignment="1">
      <alignment horizontal="left"/>
    </xf>
    <xf numFmtId="0" fontId="9" fillId="0" borderId="0" xfId="0" applyFont="1" applyBorder="1" applyAlignment="1">
      <alignment/>
    </xf>
    <xf numFmtId="3" fontId="13" fillId="0" borderId="0" xfId="0" applyNumberFormat="1" applyFont="1" applyFill="1" applyBorder="1" applyAlignment="1">
      <alignment horizontal="right" vertical="center"/>
    </xf>
    <xf numFmtId="3" fontId="7" fillId="0" borderId="0" xfId="57" applyNumberFormat="1" applyFont="1" applyFill="1" applyBorder="1" applyAlignment="1">
      <alignment horizontal="right" vertical="center" wrapText="1"/>
      <protection/>
    </xf>
    <xf numFmtId="0" fontId="9" fillId="0" borderId="0" xfId="0" applyFont="1" applyAlignment="1">
      <alignment horizontal="left" wrapText="1"/>
    </xf>
    <xf numFmtId="168" fontId="9" fillId="0" borderId="0" xfId="65" applyNumberFormat="1" applyFont="1" applyAlignment="1" quotePrefix="1">
      <alignment horizontal="right" vertical="center"/>
    </xf>
    <xf numFmtId="0" fontId="9" fillId="0" borderId="0" xfId="0" applyFont="1" applyBorder="1" applyAlignment="1">
      <alignment horizontal="left" vertical="center" wrapText="1"/>
    </xf>
    <xf numFmtId="3" fontId="9" fillId="0" borderId="0" xfId="0" applyNumberFormat="1" applyFont="1" applyFill="1" applyBorder="1" applyAlignment="1" applyProtection="1">
      <alignment horizontal="right" vertical="center" wrapText="1"/>
      <protection/>
    </xf>
    <xf numFmtId="0" fontId="13" fillId="0" borderId="0" xfId="0" applyFont="1" applyBorder="1" applyAlignment="1">
      <alignment horizontal="left" vertical="center"/>
    </xf>
    <xf numFmtId="168" fontId="7" fillId="0" borderId="0" xfId="0" applyNumberFormat="1" applyFont="1" applyFill="1" applyBorder="1" applyAlignment="1">
      <alignment horizontal="right"/>
    </xf>
    <xf numFmtId="0" fontId="10" fillId="0" borderId="0" xfId="0" applyFont="1" applyFill="1" applyAlignment="1">
      <alignment horizontal="centerContinuous"/>
    </xf>
    <xf numFmtId="0" fontId="13" fillId="0" borderId="0" xfId="0" applyFont="1" applyFill="1" applyAlignment="1">
      <alignment horizontal="left" vertical="center"/>
    </xf>
    <xf numFmtId="168" fontId="7" fillId="0" borderId="0" xfId="65" applyNumberFormat="1" applyFont="1" applyFill="1" applyBorder="1" applyAlignment="1">
      <alignment horizontal="right" vertical="center"/>
    </xf>
    <xf numFmtId="3" fontId="7" fillId="0" borderId="0" xfId="65" applyNumberFormat="1" applyFont="1" applyFill="1" applyBorder="1" applyAlignment="1">
      <alignment horizontal="right" vertical="center"/>
    </xf>
    <xf numFmtId="168" fontId="7" fillId="0" borderId="0" xfId="49" applyNumberFormat="1" applyFont="1" applyFill="1" applyBorder="1" applyAlignment="1">
      <alignment horizontal="right" vertical="center"/>
    </xf>
    <xf numFmtId="168" fontId="13" fillId="0" borderId="0" xfId="49" applyNumberFormat="1" applyFont="1" applyFill="1" applyBorder="1" applyAlignment="1">
      <alignment horizontal="right" vertical="center"/>
    </xf>
    <xf numFmtId="10" fontId="7" fillId="0" borderId="0" xfId="49" applyNumberFormat="1" applyFont="1" applyFill="1" applyBorder="1" applyAlignment="1">
      <alignment horizontal="right" vertical="center"/>
    </xf>
    <xf numFmtId="3" fontId="18" fillId="0" borderId="0" xfId="65" applyNumberFormat="1" applyFont="1" applyFill="1" applyAlignment="1">
      <alignment vertical="center"/>
    </xf>
    <xf numFmtId="165" fontId="9" fillId="0" borderId="0" xfId="0" applyNumberFormat="1" applyFont="1" applyBorder="1" applyAlignment="1">
      <alignment horizontal="center" vertical="center"/>
    </xf>
    <xf numFmtId="0" fontId="0" fillId="0" borderId="0" xfId="0" applyBorder="1" applyAlignment="1">
      <alignment vertical="center"/>
    </xf>
    <xf numFmtId="168" fontId="7" fillId="0" borderId="0" xfId="64" applyNumberFormat="1" applyFont="1" applyBorder="1" applyAlignment="1">
      <alignment horizontal="right" vertical="center"/>
    </xf>
    <xf numFmtId="0" fontId="15" fillId="0" borderId="0" xfId="0" applyFont="1" applyAlignment="1">
      <alignment/>
    </xf>
    <xf numFmtId="3" fontId="9" fillId="0" borderId="0" xfId="0" applyNumberFormat="1" applyFont="1" applyAlignment="1">
      <alignment/>
    </xf>
    <xf numFmtId="3" fontId="13" fillId="0" borderId="0" xfId="0" applyNumberFormat="1" applyFont="1" applyFill="1" applyAlignment="1">
      <alignment/>
    </xf>
    <xf numFmtId="3" fontId="9" fillId="0" borderId="0" xfId="0" applyNumberFormat="1" applyFont="1" applyFill="1" applyAlignment="1">
      <alignment/>
    </xf>
    <xf numFmtId="3" fontId="7" fillId="0" borderId="0" xfId="64" applyNumberFormat="1" applyFont="1" applyFill="1" applyAlignment="1">
      <alignment/>
    </xf>
    <xf numFmtId="3" fontId="7" fillId="0" borderId="0" xfId="64" applyNumberFormat="1" applyFont="1" applyFill="1" applyBorder="1" applyAlignment="1">
      <alignment vertical="center"/>
    </xf>
    <xf numFmtId="0" fontId="9" fillId="0" borderId="0" xfId="0" applyFont="1" applyBorder="1" applyAlignment="1">
      <alignment horizontal="right" vertical="center"/>
    </xf>
    <xf numFmtId="3" fontId="7" fillId="0" borderId="0" xfId="0" applyNumberFormat="1" applyFont="1" applyFill="1" applyAlignment="1">
      <alignment horizontal="right" vertical="center" wrapText="1"/>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3" fontId="13" fillId="0" borderId="0" xfId="47" applyNumberFormat="1" applyFont="1" applyFill="1" applyBorder="1" applyAlignment="1">
      <alignment horizontal="right" vertical="center"/>
    </xf>
    <xf numFmtId="3" fontId="13" fillId="0" borderId="0" xfId="0" applyNumberFormat="1" applyFont="1" applyFill="1" applyAlignment="1">
      <alignment horizontal="right" vertical="center" wrapText="1"/>
    </xf>
    <xf numFmtId="3" fontId="9" fillId="0" borderId="0" xfId="0" applyNumberFormat="1" applyFont="1" applyFill="1" applyAlignment="1">
      <alignment horizontal="right" vertical="center" wrapText="1"/>
    </xf>
    <xf numFmtId="0" fontId="6" fillId="0" borderId="0" xfId="0" applyFont="1" applyFill="1" applyBorder="1" applyAlignment="1">
      <alignment/>
    </xf>
    <xf numFmtId="3" fontId="9" fillId="0" borderId="0" xfId="0" applyNumberFormat="1" applyFont="1" applyFill="1" applyAlignment="1">
      <alignment horizontal="right" vertical="center"/>
    </xf>
    <xf numFmtId="168" fontId="13" fillId="0" borderId="0" xfId="0" applyNumberFormat="1" applyFont="1" applyFill="1" applyAlignment="1">
      <alignment/>
    </xf>
    <xf numFmtId="175" fontId="13" fillId="0" borderId="0" xfId="47" applyNumberFormat="1" applyFont="1" applyFill="1" applyBorder="1" applyAlignment="1">
      <alignment horizontal="right" vertical="center"/>
    </xf>
    <xf numFmtId="0" fontId="4" fillId="0" borderId="0" xfId="0" applyFont="1" applyFill="1" applyAlignment="1">
      <alignment vertical="center"/>
    </xf>
    <xf numFmtId="49" fontId="23" fillId="0" borderId="0" xfId="0" applyNumberFormat="1" applyFont="1" applyFill="1" applyAlignment="1">
      <alignment horizontal="right" vertical="center" wrapText="1"/>
    </xf>
    <xf numFmtId="0" fontId="15" fillId="0" borderId="0" xfId="0" applyFont="1" applyFill="1" applyAlignment="1">
      <alignment/>
    </xf>
    <xf numFmtId="0" fontId="7" fillId="0" borderId="0" xfId="0" applyFont="1" applyFill="1" applyAlignment="1">
      <alignment horizontal="right"/>
    </xf>
    <xf numFmtId="0" fontId="5" fillId="0" borderId="0" xfId="0" applyFont="1" applyFill="1" applyBorder="1" applyAlignment="1">
      <alignment vertical="center"/>
    </xf>
    <xf numFmtId="3" fontId="13" fillId="0" borderId="0" xfId="0" applyNumberFormat="1" applyFont="1" applyFill="1" applyAlignment="1">
      <alignment horizontal="right" vertical="center"/>
    </xf>
    <xf numFmtId="49" fontId="7" fillId="0" borderId="0" xfId="0" applyNumberFormat="1" applyFont="1" applyAlignment="1">
      <alignment/>
    </xf>
    <xf numFmtId="0" fontId="13" fillId="0" borderId="0" xfId="0" applyFont="1" applyFill="1" applyAlignment="1">
      <alignment horizontal="right"/>
    </xf>
    <xf numFmtId="0" fontId="7" fillId="0" borderId="0" xfId="0" applyFont="1" applyBorder="1" applyAlignment="1">
      <alignment/>
    </xf>
    <xf numFmtId="0" fontId="7" fillId="0" borderId="0" xfId="0" applyFont="1" applyFill="1" applyBorder="1" applyAlignment="1">
      <alignment horizontal="left" vertical="center" indent="1"/>
    </xf>
    <xf numFmtId="0" fontId="9" fillId="0" borderId="0" xfId="0" applyFont="1" applyFill="1" applyBorder="1" applyAlignment="1">
      <alignment horizontal="left" vertical="center" indent="1"/>
    </xf>
    <xf numFmtId="168" fontId="13" fillId="0" borderId="0" xfId="0" applyNumberFormat="1" applyFont="1" applyAlignment="1">
      <alignment/>
    </xf>
    <xf numFmtId="0" fontId="4" fillId="0" borderId="0" xfId="0" applyFont="1" applyAlignment="1">
      <alignment vertical="center"/>
    </xf>
    <xf numFmtId="3" fontId="13" fillId="0" borderId="0" xfId="0" applyNumberFormat="1" applyFont="1" applyFill="1" applyBorder="1" applyAlignment="1">
      <alignment/>
    </xf>
    <xf numFmtId="3" fontId="7" fillId="0" borderId="0" xfId="0" applyNumberFormat="1" applyFont="1" applyFill="1" applyAlignment="1">
      <alignment horizontal="right"/>
    </xf>
    <xf numFmtId="165" fontId="7" fillId="0" borderId="0" xfId="49" applyNumberFormat="1" applyFont="1" applyFill="1" applyBorder="1" applyAlignment="1">
      <alignment horizontal="right" vertical="center"/>
    </xf>
    <xf numFmtId="165" fontId="13" fillId="0" borderId="0" xfId="49" applyNumberFormat="1" applyFont="1" applyFill="1" applyBorder="1" applyAlignment="1">
      <alignment horizontal="right" vertical="center"/>
    </xf>
    <xf numFmtId="168" fontId="9" fillId="0" borderId="0" xfId="0" applyNumberFormat="1" applyFont="1" applyFill="1" applyAlignment="1">
      <alignment vertical="center"/>
    </xf>
    <xf numFmtId="168" fontId="8" fillId="0" borderId="0" xfId="0" applyNumberFormat="1" applyFont="1" applyFill="1" applyAlignment="1">
      <alignment vertical="center"/>
    </xf>
    <xf numFmtId="168" fontId="9" fillId="0" borderId="0" xfId="47" applyNumberFormat="1" applyFont="1" applyFill="1" applyBorder="1" applyAlignment="1">
      <alignment vertical="center"/>
    </xf>
    <xf numFmtId="3" fontId="8" fillId="0" borderId="0" xfId="0" applyNumberFormat="1" applyFont="1" applyFill="1" applyAlignment="1">
      <alignment/>
    </xf>
    <xf numFmtId="3" fontId="13" fillId="0" borderId="0" xfId="0" applyNumberFormat="1" applyFont="1" applyFill="1" applyAlignment="1">
      <alignment horizontal="right"/>
    </xf>
    <xf numFmtId="169" fontId="9" fillId="0" borderId="0" xfId="0" applyNumberFormat="1" applyFont="1" applyFill="1" applyAlignment="1">
      <alignment/>
    </xf>
    <xf numFmtId="169" fontId="9" fillId="0" borderId="0" xfId="0" applyNumberFormat="1" applyFont="1" applyFill="1" applyAlignment="1">
      <alignment horizontal="right"/>
    </xf>
    <xf numFmtId="0" fontId="4" fillId="0" borderId="0" xfId="0" applyFont="1" applyAlignment="1">
      <alignment vertical="center"/>
    </xf>
    <xf numFmtId="168" fontId="13" fillId="0" borderId="0" xfId="64" applyNumberFormat="1" applyFont="1" applyBorder="1" applyAlignment="1">
      <alignment horizontal="right" vertical="center"/>
    </xf>
    <xf numFmtId="168" fontId="8" fillId="0" borderId="0" xfId="0" applyNumberFormat="1" applyFont="1" applyFill="1" applyAlignment="1">
      <alignment/>
    </xf>
    <xf numFmtId="168" fontId="8" fillId="0" borderId="0" xfId="65" applyNumberFormat="1" applyFont="1" applyAlignment="1" quotePrefix="1">
      <alignment horizontal="right" vertical="center"/>
    </xf>
    <xf numFmtId="0" fontId="18" fillId="0" borderId="0" xfId="0" applyFont="1" applyFill="1" applyAlignment="1">
      <alignment/>
    </xf>
    <xf numFmtId="3" fontId="8" fillId="0" borderId="0" xfId="0" applyNumberFormat="1" applyFont="1" applyAlignment="1">
      <alignment/>
    </xf>
    <xf numFmtId="0" fontId="17" fillId="0" borderId="0" xfId="0" applyFont="1" applyAlignment="1">
      <alignment horizontal="center" vertical="center"/>
    </xf>
    <xf numFmtId="0" fontId="25" fillId="0" borderId="0" xfId="0" applyFont="1" applyAlignment="1">
      <alignment/>
    </xf>
    <xf numFmtId="0" fontId="16" fillId="0" borderId="0" xfId="0" applyFont="1" applyAlignment="1">
      <alignment horizontal="center" vertical="center"/>
    </xf>
    <xf numFmtId="0" fontId="16" fillId="0" borderId="0" xfId="0" applyFont="1" applyAlignment="1">
      <alignment horizontal="center"/>
    </xf>
    <xf numFmtId="0" fontId="26" fillId="0" borderId="0" xfId="0" applyFont="1" applyAlignment="1">
      <alignment horizontal="center" vertical="center"/>
    </xf>
    <xf numFmtId="168" fontId="9" fillId="0" borderId="0" xfId="0" applyNumberFormat="1" applyFont="1" applyFill="1" applyBorder="1" applyAlignment="1" applyProtection="1">
      <alignment/>
      <protection/>
    </xf>
    <xf numFmtId="3" fontId="7" fillId="0" borderId="0" xfId="0" applyNumberFormat="1" applyFont="1" applyFill="1" applyBorder="1" applyAlignment="1" applyProtection="1">
      <alignment/>
      <protection/>
    </xf>
    <xf numFmtId="0" fontId="27" fillId="0" borderId="0" xfId="0" applyFont="1" applyAlignment="1">
      <alignment/>
    </xf>
    <xf numFmtId="0" fontId="28" fillId="0" borderId="0" xfId="0" applyFont="1" applyAlignment="1">
      <alignment/>
    </xf>
    <xf numFmtId="0" fontId="28" fillId="0" borderId="0" xfId="0" applyFont="1" applyAlignment="1">
      <alignment vertical="center"/>
    </xf>
    <xf numFmtId="0" fontId="5" fillId="0" borderId="0" xfId="0" applyFont="1"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29" fillId="0" borderId="0" xfId="0" applyFont="1" applyAlignment="1">
      <alignment horizontal="left" vertical="center" wrapText="1"/>
    </xf>
    <xf numFmtId="0" fontId="30" fillId="0" borderId="0" xfId="0" applyFont="1" applyAlignment="1">
      <alignment horizontal="left" vertical="center" wrapText="1"/>
    </xf>
    <xf numFmtId="0" fontId="0" fillId="0" borderId="0" xfId="0" applyAlignment="1">
      <alignment horizontal="left" vertical="center" wrapText="1"/>
    </xf>
    <xf numFmtId="0" fontId="1" fillId="0" borderId="0" xfId="0" applyFont="1" applyFill="1" applyAlignment="1">
      <alignment vertical="center"/>
    </xf>
    <xf numFmtId="0" fontId="5" fillId="0" borderId="0" xfId="0" applyFont="1" applyAlignment="1">
      <alignment horizontal="right" vertical="center" wrapText="1"/>
    </xf>
    <xf numFmtId="0" fontId="4" fillId="0" borderId="0" xfId="0" applyFont="1" applyAlignment="1">
      <alignment horizontal="right" vertical="center" wrapText="1"/>
    </xf>
    <xf numFmtId="0" fontId="1" fillId="0" borderId="0" xfId="0" applyFont="1" applyFill="1" applyAlignment="1">
      <alignment vertical="center" wrapText="1"/>
    </xf>
    <xf numFmtId="0" fontId="4" fillId="0" borderId="0" xfId="0" applyFont="1" applyAlignment="1">
      <alignment vertical="center" wrapText="1"/>
    </xf>
    <xf numFmtId="0" fontId="31" fillId="0" borderId="0" xfId="0" applyFont="1" applyAlignment="1">
      <alignment vertical="center"/>
    </xf>
    <xf numFmtId="0" fontId="31" fillId="0" borderId="0" xfId="0" applyFont="1" applyAlignment="1">
      <alignment vertical="center" wrapText="1"/>
    </xf>
    <xf numFmtId="0" fontId="14" fillId="0" borderId="0" xfId="0" applyFont="1" applyAlignment="1">
      <alignment vertical="center"/>
    </xf>
    <xf numFmtId="0" fontId="4" fillId="0" borderId="0" xfId="0" applyFont="1" applyBorder="1" applyAlignment="1">
      <alignment vertical="center"/>
    </xf>
    <xf numFmtId="0" fontId="0" fillId="0" borderId="0" xfId="0" applyAlignment="1">
      <alignment vertical="center" wrapText="1"/>
    </xf>
    <xf numFmtId="0" fontId="33" fillId="0" borderId="0" xfId="0" applyFont="1" applyAlignment="1">
      <alignment vertical="center"/>
    </xf>
    <xf numFmtId="0" fontId="33"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right" vertical="center"/>
    </xf>
    <xf numFmtId="0" fontId="34" fillId="0" borderId="0" xfId="0" applyFont="1" applyAlignment="1">
      <alignment vertical="center"/>
    </xf>
    <xf numFmtId="0" fontId="35" fillId="0" borderId="0" xfId="0" applyFont="1" applyAlignment="1">
      <alignment vertical="center"/>
    </xf>
    <xf numFmtId="0" fontId="35" fillId="0" borderId="0" xfId="0" applyFont="1" applyAlignment="1">
      <alignment horizontal="right" vertical="center"/>
    </xf>
    <xf numFmtId="0" fontId="39" fillId="0" borderId="0" xfId="0" applyFont="1" applyAlignment="1">
      <alignment vertical="center"/>
    </xf>
    <xf numFmtId="0" fontId="39" fillId="0" borderId="0" xfId="0" applyFont="1" applyAlignment="1">
      <alignment horizontal="right" vertical="center"/>
    </xf>
    <xf numFmtId="0" fontId="9" fillId="0" borderId="0" xfId="0" applyFont="1" applyFill="1" applyBorder="1" applyAlignment="1" applyProtection="1">
      <alignment/>
      <protection/>
    </xf>
    <xf numFmtId="0" fontId="13" fillId="0" borderId="10" xfId="0" applyFont="1" applyBorder="1" applyAlignment="1">
      <alignment vertical="center"/>
    </xf>
    <xf numFmtId="165" fontId="9" fillId="0" borderId="0" xfId="65" applyNumberFormat="1" applyFont="1" applyFill="1" applyAlignment="1">
      <alignment horizontal="right" vertical="center"/>
    </xf>
    <xf numFmtId="0" fontId="7"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9" fillId="0" borderId="0" xfId="0" applyFont="1" applyFill="1" applyBorder="1" applyAlignment="1" applyProtection="1">
      <alignment vertical="center" wrapText="1"/>
      <protection/>
    </xf>
    <xf numFmtId="0" fontId="9" fillId="0" borderId="0" xfId="0" applyFont="1" applyBorder="1" applyAlignment="1">
      <alignment vertical="center"/>
    </xf>
    <xf numFmtId="0" fontId="5" fillId="0" borderId="0" xfId="0" applyFont="1" applyAlignment="1">
      <alignment vertical="center" wrapText="1"/>
    </xf>
    <xf numFmtId="0" fontId="5" fillId="0" borderId="0" xfId="0" applyFont="1" applyAlignment="1">
      <alignment vertical="center"/>
    </xf>
    <xf numFmtId="3" fontId="7" fillId="0" borderId="0" xfId="0" applyNumberFormat="1" applyFont="1" applyAlignment="1">
      <alignment/>
    </xf>
    <xf numFmtId="0" fontId="45" fillId="0" borderId="0" xfId="0" applyFont="1" applyAlignment="1">
      <alignment vertical="center"/>
    </xf>
    <xf numFmtId="0" fontId="46" fillId="0" borderId="0" xfId="0" applyFont="1" applyAlignment="1">
      <alignment vertical="center"/>
    </xf>
    <xf numFmtId="0" fontId="45" fillId="0" borderId="0" xfId="0" applyFont="1" applyFill="1" applyAlignment="1">
      <alignment vertical="center"/>
    </xf>
    <xf numFmtId="0" fontId="15" fillId="0" borderId="0" xfId="0" applyFont="1" applyAlignment="1">
      <alignment/>
    </xf>
    <xf numFmtId="0" fontId="47" fillId="0" borderId="0" xfId="0" applyFont="1" applyAlignment="1">
      <alignment/>
    </xf>
    <xf numFmtId="0" fontId="15" fillId="0" borderId="0" xfId="0" applyFont="1" applyAlignment="1">
      <alignment horizontal="right"/>
    </xf>
    <xf numFmtId="3" fontId="15" fillId="0" borderId="0" xfId="0" applyNumberFormat="1" applyFont="1" applyAlignment="1">
      <alignment/>
    </xf>
    <xf numFmtId="0" fontId="18" fillId="0" borderId="0" xfId="0" applyFont="1" applyAlignment="1">
      <alignment/>
    </xf>
    <xf numFmtId="0" fontId="15" fillId="0" borderId="0" xfId="0" applyFont="1" applyBorder="1" applyAlignment="1">
      <alignment/>
    </xf>
    <xf numFmtId="0" fontId="15" fillId="0" borderId="0" xfId="0" applyFont="1" applyFill="1" applyBorder="1" applyAlignment="1">
      <alignment/>
    </xf>
    <xf numFmtId="49" fontId="15" fillId="0" borderId="0" xfId="0" applyNumberFormat="1" applyFont="1" applyFill="1" applyAlignment="1">
      <alignment textRotation="90"/>
    </xf>
    <xf numFmtId="0" fontId="15" fillId="0" borderId="0" xfId="0" applyFont="1" applyFill="1" applyAlignment="1">
      <alignment textRotation="90"/>
    </xf>
    <xf numFmtId="165" fontId="15" fillId="0" borderId="0" xfId="0" applyNumberFormat="1" applyFont="1" applyFill="1" applyAlignment="1">
      <alignment/>
    </xf>
    <xf numFmtId="49" fontId="15" fillId="0" borderId="0" xfId="0" applyNumberFormat="1" applyFont="1" applyFill="1" applyAlignment="1">
      <alignment/>
    </xf>
    <xf numFmtId="49" fontId="15" fillId="0" borderId="0" xfId="0" applyNumberFormat="1" applyFont="1" applyFill="1" applyAlignment="1">
      <alignment horizontal="center" vertical="center" wrapText="1"/>
    </xf>
    <xf numFmtId="3" fontId="18" fillId="0" borderId="0" xfId="49" applyNumberFormat="1" applyFont="1" applyFill="1" applyBorder="1" applyAlignment="1">
      <alignment vertical="center"/>
    </xf>
    <xf numFmtId="3" fontId="15" fillId="0" borderId="0" xfId="0" applyNumberFormat="1" applyFont="1" applyFill="1" applyBorder="1" applyAlignment="1">
      <alignment/>
    </xf>
    <xf numFmtId="3" fontId="15"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right" vertical="center" wrapText="1"/>
    </xf>
    <xf numFmtId="17" fontId="15" fillId="0" borderId="0" xfId="0" applyNumberFormat="1" applyFont="1" applyFill="1" applyBorder="1" applyAlignment="1">
      <alignment horizontal="right" vertical="center" wrapText="1"/>
    </xf>
    <xf numFmtId="0" fontId="45" fillId="0" borderId="0" xfId="0" applyFont="1" applyAlignment="1">
      <alignment/>
    </xf>
    <xf numFmtId="0" fontId="15" fillId="0" borderId="0" xfId="0" applyFont="1" applyAlignment="1">
      <alignment horizontal="left"/>
    </xf>
    <xf numFmtId="3" fontId="15" fillId="0" borderId="0" xfId="0" applyNumberFormat="1" applyFont="1" applyAlignment="1">
      <alignment horizontal="left"/>
    </xf>
    <xf numFmtId="0" fontId="15" fillId="0" borderId="0" xfId="0" applyFont="1" applyFill="1" applyBorder="1" applyAlignment="1">
      <alignment horizontal="left"/>
    </xf>
    <xf numFmtId="0" fontId="15" fillId="0" borderId="0" xfId="0" applyFont="1" applyFill="1" applyAlignment="1">
      <alignment horizontal="left"/>
    </xf>
    <xf numFmtId="0" fontId="15" fillId="0" borderId="0" xfId="0" applyFont="1" applyBorder="1" applyAlignment="1">
      <alignment horizontal="left"/>
    </xf>
    <xf numFmtId="49" fontId="15" fillId="0" borderId="0" xfId="0" applyNumberFormat="1" applyFont="1" applyFill="1" applyAlignment="1">
      <alignment horizontal="left" textRotation="90"/>
    </xf>
    <xf numFmtId="165" fontId="15" fillId="0" borderId="0" xfId="0" applyNumberFormat="1" applyFont="1" applyFill="1" applyAlignment="1">
      <alignment horizontal="left"/>
    </xf>
    <xf numFmtId="3" fontId="15" fillId="0" borderId="0" xfId="49" applyNumberFormat="1" applyFont="1" applyFill="1" applyBorder="1" applyAlignment="1">
      <alignment horizontal="left" vertical="center"/>
    </xf>
    <xf numFmtId="3" fontId="15" fillId="0" borderId="0" xfId="0" applyNumberFormat="1" applyFont="1" applyFill="1" applyBorder="1" applyAlignment="1">
      <alignment horizontal="left" vertical="center" wrapText="1"/>
    </xf>
    <xf numFmtId="0" fontId="15" fillId="0" borderId="0" xfId="0" applyFont="1" applyAlignment="1">
      <alignment horizontal="right" vertical="center"/>
    </xf>
    <xf numFmtId="17" fontId="15" fillId="0" borderId="0" xfId="0" applyNumberFormat="1" applyFont="1" applyFill="1" applyBorder="1" applyAlignment="1">
      <alignment/>
    </xf>
    <xf numFmtId="3" fontId="15" fillId="0" borderId="0" xfId="0" applyNumberFormat="1" applyFont="1" applyFill="1" applyBorder="1" applyAlignment="1">
      <alignment horizontal="left"/>
    </xf>
    <xf numFmtId="0" fontId="18" fillId="0" borderId="0" xfId="0" applyFont="1" applyFill="1" applyBorder="1" applyAlignment="1">
      <alignment vertical="center"/>
    </xf>
    <xf numFmtId="0" fontId="45" fillId="0" borderId="0" xfId="0" applyFont="1" applyAlignment="1">
      <alignment vertical="center" wrapText="1"/>
    </xf>
    <xf numFmtId="0" fontId="45" fillId="0" borderId="0" xfId="0" applyFont="1" applyBorder="1" applyAlignment="1">
      <alignment vertical="center"/>
    </xf>
    <xf numFmtId="0" fontId="45" fillId="0" borderId="0" xfId="0" applyFont="1" applyFill="1" applyBorder="1" applyAlignment="1">
      <alignment vertical="center"/>
    </xf>
    <xf numFmtId="0" fontId="45" fillId="0" borderId="0" xfId="0" applyFont="1" applyFill="1" applyAlignment="1">
      <alignment vertical="center" wrapText="1"/>
    </xf>
    <xf numFmtId="0" fontId="45" fillId="0" borderId="0" xfId="0" applyFont="1" applyFill="1" applyAlignment="1">
      <alignment/>
    </xf>
    <xf numFmtId="0" fontId="42" fillId="0" borderId="0" xfId="0" applyFont="1" applyAlignment="1">
      <alignment vertical="center"/>
    </xf>
    <xf numFmtId="168" fontId="7" fillId="0" borderId="0" xfId="0" applyNumberFormat="1" applyFont="1" applyFill="1" applyAlignment="1">
      <alignment/>
    </xf>
    <xf numFmtId="0" fontId="14" fillId="0" borderId="0" xfId="0" applyFont="1" applyAlignment="1">
      <alignment horizontal="left" vertical="center"/>
    </xf>
    <xf numFmtId="0" fontId="6" fillId="0" borderId="0" xfId="0" applyFont="1" applyAlignment="1">
      <alignment horizontal="left" vertical="center"/>
    </xf>
    <xf numFmtId="168" fontId="7" fillId="0" borderId="0" xfId="64" applyNumberFormat="1" applyFont="1" applyFill="1" applyAlignment="1">
      <alignment/>
    </xf>
    <xf numFmtId="168" fontId="13" fillId="0" borderId="0" xfId="64" applyNumberFormat="1" applyFont="1" applyFill="1" applyAlignment="1">
      <alignment/>
    </xf>
    <xf numFmtId="168" fontId="7" fillId="0" borderId="0" xfId="64" applyNumberFormat="1" applyFont="1" applyFill="1" applyAlignment="1">
      <alignment/>
    </xf>
    <xf numFmtId="0" fontId="14" fillId="0" borderId="0" xfId="0" applyFont="1" applyAlignment="1">
      <alignment/>
    </xf>
    <xf numFmtId="0" fontId="0" fillId="0" borderId="0" xfId="0" applyFill="1" applyAlignment="1">
      <alignment/>
    </xf>
    <xf numFmtId="0" fontId="9" fillId="0" borderId="0" xfId="0" applyFont="1" applyFill="1" applyAlignment="1">
      <alignment horizontal="left" vertical="center"/>
    </xf>
    <xf numFmtId="168" fontId="7" fillId="0" borderId="0" xfId="0" applyNumberFormat="1" applyFont="1" applyFill="1" applyBorder="1" applyAlignment="1">
      <alignment vertical="center"/>
    </xf>
    <xf numFmtId="0" fontId="13" fillId="0" borderId="0" xfId="0" applyFont="1" applyFill="1" applyAlignment="1">
      <alignment vertical="center"/>
    </xf>
    <xf numFmtId="3" fontId="9" fillId="0" borderId="0" xfId="47" applyNumberFormat="1" applyFont="1" applyFill="1" applyBorder="1" applyAlignment="1">
      <alignment vertical="center"/>
    </xf>
    <xf numFmtId="11" fontId="13" fillId="0" borderId="0" xfId="0" applyNumberFormat="1" applyFont="1" applyFill="1" applyBorder="1" applyAlignment="1">
      <alignment horizontal="left" vertical="center"/>
    </xf>
    <xf numFmtId="0" fontId="4" fillId="0" borderId="0" xfId="0" applyFont="1" applyFill="1" applyAlignment="1">
      <alignment/>
    </xf>
    <xf numFmtId="3" fontId="4" fillId="0" borderId="0" xfId="0" applyNumberFormat="1" applyFont="1" applyFill="1" applyBorder="1" applyAlignment="1">
      <alignment/>
    </xf>
    <xf numFmtId="9" fontId="7" fillId="0" borderId="0" xfId="64" applyFont="1" applyAlignment="1">
      <alignment/>
    </xf>
    <xf numFmtId="0" fontId="28" fillId="0" borderId="0" xfId="0" applyFont="1" applyFill="1" applyAlignment="1">
      <alignment vertical="center"/>
    </xf>
    <xf numFmtId="0" fontId="10" fillId="0" borderId="0" xfId="0" applyFont="1" applyFill="1" applyAlignment="1">
      <alignment vertical="center"/>
    </xf>
    <xf numFmtId="0" fontId="13" fillId="0" borderId="0" xfId="0" applyFont="1" applyFill="1" applyBorder="1" applyAlignment="1">
      <alignment horizontal="left" vertical="center"/>
    </xf>
    <xf numFmtId="0" fontId="15" fillId="0" borderId="0" xfId="0" applyFont="1" applyFill="1" applyBorder="1" applyAlignment="1">
      <alignment vertical="center"/>
    </xf>
    <xf numFmtId="0" fontId="12" fillId="0" borderId="0" xfId="0" applyFont="1" applyFill="1" applyBorder="1" applyAlignment="1">
      <alignment/>
    </xf>
    <xf numFmtId="0" fontId="7" fillId="0" borderId="0" xfId="0" applyFont="1" applyFill="1" applyBorder="1" applyAlignment="1">
      <alignment horizontal="left"/>
    </xf>
    <xf numFmtId="0" fontId="7" fillId="0" borderId="0" xfId="0" applyFont="1" applyFill="1" applyBorder="1" applyAlignment="1">
      <alignment horizontal="right"/>
    </xf>
    <xf numFmtId="165" fontId="7" fillId="0" borderId="0" xfId="64" applyNumberFormat="1" applyFont="1" applyFill="1" applyBorder="1" applyAlignment="1">
      <alignment/>
    </xf>
    <xf numFmtId="173" fontId="7" fillId="0" borderId="0" xfId="64" applyNumberFormat="1" applyFont="1" applyFill="1" applyBorder="1" applyAlignment="1">
      <alignment/>
    </xf>
    <xf numFmtId="165" fontId="7" fillId="0" borderId="0" xfId="57" applyNumberFormat="1" applyFont="1" applyFill="1" applyBorder="1" applyAlignment="1">
      <alignment horizontal="right" vertical="center" wrapText="1"/>
      <protection/>
    </xf>
    <xf numFmtId="0" fontId="4" fillId="0" borderId="0" xfId="0" applyFont="1" applyAlignment="1">
      <alignment vertical="center" wrapText="1"/>
    </xf>
    <xf numFmtId="0" fontId="4" fillId="0" borderId="0" xfId="0" applyFont="1" applyAlignment="1">
      <alignment horizontal="right" vertical="center" wrapText="1"/>
    </xf>
    <xf numFmtId="0" fontId="5" fillId="0" borderId="0" xfId="0" applyFont="1" applyAlignment="1">
      <alignment horizontal="right" vertical="center" wrapText="1"/>
    </xf>
    <xf numFmtId="3" fontId="4" fillId="0" borderId="0" xfId="0" applyNumberFormat="1" applyFont="1" applyAlignment="1">
      <alignment vertical="center"/>
    </xf>
    <xf numFmtId="0" fontId="4" fillId="0" borderId="0" xfId="0" applyFont="1" applyAlignment="1">
      <alignment horizontal="right" vertical="center"/>
    </xf>
    <xf numFmtId="3" fontId="4" fillId="0" borderId="0" xfId="0" applyNumberFormat="1" applyFont="1" applyAlignment="1">
      <alignment horizontal="right" vertical="center"/>
    </xf>
    <xf numFmtId="0" fontId="14" fillId="0" borderId="0" xfId="0" applyFont="1" applyAlignment="1">
      <alignment vertical="center"/>
    </xf>
    <xf numFmtId="0" fontId="1" fillId="0" borderId="0" xfId="0" applyFont="1" applyFill="1" applyAlignment="1">
      <alignment vertical="center"/>
    </xf>
    <xf numFmtId="0" fontId="5" fillId="0" borderId="0" xfId="0" applyFont="1" applyBorder="1" applyAlignment="1">
      <alignment vertical="center"/>
    </xf>
    <xf numFmtId="0" fontId="1" fillId="0" borderId="0" xfId="0" applyFont="1" applyFill="1" applyBorder="1" applyAlignment="1">
      <alignment vertical="center"/>
    </xf>
    <xf numFmtId="0" fontId="1" fillId="0" borderId="0" xfId="0" applyFont="1" applyFill="1" applyAlignment="1">
      <alignment/>
    </xf>
    <xf numFmtId="9" fontId="4" fillId="0" borderId="0" xfId="64" applyFont="1" applyAlignment="1">
      <alignment/>
    </xf>
    <xf numFmtId="9" fontId="5" fillId="0" borderId="0" xfId="64" applyFont="1" applyAlignment="1">
      <alignment/>
    </xf>
    <xf numFmtId="0" fontId="4" fillId="0" borderId="0" xfId="0" applyNumberFormat="1" applyFont="1" applyAlignment="1" quotePrefix="1">
      <alignment horizontal="left"/>
    </xf>
    <xf numFmtId="0" fontId="4" fillId="0" borderId="0" xfId="0" applyFont="1" applyAlignment="1">
      <alignment horizontal="left"/>
    </xf>
    <xf numFmtId="3" fontId="13" fillId="0" borderId="0" xfId="47" applyNumberFormat="1" applyFont="1" applyFill="1" applyBorder="1" applyAlignment="1">
      <alignment horizontal="center" vertical="center"/>
    </xf>
    <xf numFmtId="0" fontId="13" fillId="0" borderId="0" xfId="0" applyFont="1" applyFill="1" applyBorder="1" applyAlignment="1">
      <alignment horizontal="center"/>
    </xf>
    <xf numFmtId="0" fontId="4" fillId="0" borderId="0" xfId="0" applyNumberFormat="1" applyFont="1" applyFill="1" applyAlignment="1" quotePrefix="1">
      <alignment horizontal="left"/>
    </xf>
    <xf numFmtId="49" fontId="15" fillId="0" borderId="0" xfId="0" applyNumberFormat="1" applyFont="1" applyFill="1" applyAlignment="1">
      <alignment horizontal="right" vertical="center" wrapText="1"/>
    </xf>
    <xf numFmtId="3" fontId="47" fillId="0" borderId="0" xfId="0" applyNumberFormat="1" applyFont="1" applyFill="1" applyAlignment="1">
      <alignment/>
    </xf>
    <xf numFmtId="0" fontId="50" fillId="0" borderId="0" xfId="0" applyFont="1" applyFill="1" applyAlignment="1">
      <alignment horizontal="center" vertical="center"/>
    </xf>
    <xf numFmtId="3" fontId="15" fillId="0" borderId="0" xfId="0" applyNumberFormat="1" applyFont="1" applyFill="1" applyAlignment="1">
      <alignment/>
    </xf>
    <xf numFmtId="3" fontId="15" fillId="0" borderId="0" xfId="47" applyNumberFormat="1" applyFont="1" applyFill="1" applyBorder="1" applyAlignment="1">
      <alignment horizontal="center" vertical="center"/>
    </xf>
    <xf numFmtId="3" fontId="7" fillId="0" borderId="0" xfId="47" applyNumberFormat="1" applyFont="1" applyFill="1" applyBorder="1" applyAlignment="1">
      <alignment horizontal="center" vertical="center"/>
    </xf>
    <xf numFmtId="0" fontId="15" fillId="0" borderId="0" xfId="0" applyFont="1" applyAlignment="1">
      <alignment vertical="center"/>
    </xf>
    <xf numFmtId="0" fontId="47" fillId="0" borderId="0" xfId="0" applyFont="1" applyAlignment="1">
      <alignment vertical="center"/>
    </xf>
    <xf numFmtId="0" fontId="15" fillId="0" borderId="0" xfId="0" applyFont="1" applyFill="1" applyAlignment="1">
      <alignment/>
    </xf>
    <xf numFmtId="0" fontId="11" fillId="0" borderId="0" xfId="0" applyFont="1" applyFill="1" applyAlignment="1">
      <alignment horizontal="center" vertical="center"/>
    </xf>
    <xf numFmtId="0" fontId="11" fillId="0" borderId="0" xfId="0" applyFont="1" applyFill="1" applyAlignment="1">
      <alignment horizontal="center" vertical="center"/>
    </xf>
    <xf numFmtId="3" fontId="15" fillId="0" borderId="0" xfId="0" applyNumberFormat="1" applyFont="1" applyFill="1" applyBorder="1" applyAlignment="1">
      <alignment vertical="center"/>
    </xf>
    <xf numFmtId="3" fontId="7" fillId="0" borderId="0" xfId="64" applyNumberFormat="1" applyFont="1" applyBorder="1" applyAlignment="1">
      <alignment horizontal="right" vertical="center"/>
    </xf>
    <xf numFmtId="3" fontId="13" fillId="0" borderId="0" xfId="64" applyNumberFormat="1" applyFont="1" applyBorder="1" applyAlignment="1">
      <alignment horizontal="right" vertical="center"/>
    </xf>
    <xf numFmtId="0" fontId="15" fillId="0" borderId="0" xfId="0" applyFont="1" applyFill="1" applyAlignment="1">
      <alignment vertical="center"/>
    </xf>
    <xf numFmtId="0" fontId="45" fillId="0" borderId="0" xfId="0" applyFont="1" applyFill="1" applyAlignment="1">
      <alignment/>
    </xf>
    <xf numFmtId="168" fontId="9" fillId="0" borderId="0" xfId="0" applyNumberFormat="1" applyFont="1" applyFill="1" applyAlignment="1">
      <alignment horizontal="right"/>
    </xf>
    <xf numFmtId="168" fontId="6" fillId="0" borderId="0" xfId="0" applyNumberFormat="1" applyFont="1" applyAlignment="1">
      <alignment horizontal="right" vertical="center"/>
    </xf>
    <xf numFmtId="0" fontId="4" fillId="0" borderId="0" xfId="0" applyNumberFormat="1" applyFont="1" applyAlignment="1">
      <alignment/>
    </xf>
    <xf numFmtId="0" fontId="49" fillId="0" borderId="0" xfId="0" applyFont="1" applyFill="1" applyBorder="1" applyAlignment="1">
      <alignment horizontal="left"/>
    </xf>
    <xf numFmtId="0" fontId="15" fillId="0" borderId="0" xfId="0" applyFont="1" applyFill="1" applyAlignment="1">
      <alignment vertical="center" wrapText="1"/>
    </xf>
    <xf numFmtId="0" fontId="15" fillId="0" borderId="0" xfId="0" applyFont="1" applyFill="1" applyAlignment="1">
      <alignment horizontal="right"/>
    </xf>
    <xf numFmtId="168" fontId="6" fillId="0" borderId="0" xfId="0" applyNumberFormat="1" applyFont="1" applyFill="1" applyAlignment="1">
      <alignment vertical="center"/>
    </xf>
    <xf numFmtId="3" fontId="9" fillId="0" borderId="0" xfId="47" applyNumberFormat="1" applyFont="1" applyFill="1" applyBorder="1" applyAlignment="1">
      <alignment horizontal="right" vertical="center"/>
    </xf>
    <xf numFmtId="9" fontId="7" fillId="0" borderId="0" xfId="0" applyNumberFormat="1" applyFont="1" applyFill="1" applyAlignment="1">
      <alignment vertical="center"/>
    </xf>
    <xf numFmtId="0" fontId="49" fillId="0" borderId="0" xfId="0" applyFont="1" applyFill="1" applyBorder="1" applyAlignment="1">
      <alignment horizontal="centerContinuous"/>
    </xf>
    <xf numFmtId="9" fontId="7" fillId="0" borderId="0" xfId="0" applyNumberFormat="1" applyFont="1" applyFill="1" applyAlignment="1">
      <alignment horizontal="right" vertical="center"/>
    </xf>
    <xf numFmtId="17" fontId="15" fillId="0" borderId="0" xfId="0" applyNumberFormat="1" applyFont="1" applyFill="1" applyBorder="1" applyAlignment="1">
      <alignment/>
    </xf>
    <xf numFmtId="0" fontId="18" fillId="0" borderId="0" xfId="0" applyFont="1" applyFill="1" applyAlignment="1">
      <alignment/>
    </xf>
    <xf numFmtId="165" fontId="13" fillId="0" borderId="0" xfId="0" applyNumberFormat="1" applyFont="1" applyFill="1" applyAlignment="1">
      <alignment/>
    </xf>
    <xf numFmtId="168" fontId="6" fillId="0" borderId="0" xfId="64" applyNumberFormat="1" applyFont="1" applyBorder="1" applyAlignment="1">
      <alignment/>
    </xf>
    <xf numFmtId="165" fontId="8" fillId="0" borderId="0" xfId="65" applyNumberFormat="1" applyFont="1" applyFill="1" applyAlignment="1">
      <alignment horizontal="right" vertical="center"/>
    </xf>
    <xf numFmtId="3" fontId="7" fillId="0" borderId="0" xfId="0" applyNumberFormat="1" applyFont="1" applyFill="1" applyAlignment="1">
      <alignment/>
    </xf>
    <xf numFmtId="0" fontId="47" fillId="0" borderId="0" xfId="0" applyFont="1" applyFill="1" applyAlignment="1">
      <alignment/>
    </xf>
    <xf numFmtId="0" fontId="43" fillId="0" borderId="0" xfId="45" applyFill="1" applyAlignment="1" applyProtection="1">
      <alignment/>
      <protection/>
    </xf>
    <xf numFmtId="3" fontId="15" fillId="0" borderId="0" xfId="0" applyNumberFormat="1" applyFont="1" applyFill="1" applyAlignment="1">
      <alignment/>
    </xf>
    <xf numFmtId="0" fontId="4" fillId="0" borderId="0" xfId="0" applyFont="1" applyFill="1" applyAlignment="1">
      <alignment horizontal="left"/>
    </xf>
    <xf numFmtId="0" fontId="4" fillId="0" borderId="0" xfId="0" applyFont="1" applyAlignment="1">
      <alignment horizontal="left" vertical="center" wrapText="1"/>
    </xf>
    <xf numFmtId="0" fontId="4" fillId="0" borderId="0" xfId="0" applyNumberFormat="1" applyFont="1" applyFill="1" applyBorder="1" applyAlignment="1" quotePrefix="1">
      <alignment horizontal="left"/>
    </xf>
    <xf numFmtId="0" fontId="4" fillId="0" borderId="0" xfId="0" applyFont="1" applyFill="1" applyBorder="1" applyAlignment="1">
      <alignment horizontal="left"/>
    </xf>
    <xf numFmtId="0" fontId="51" fillId="0" borderId="0" xfId="0" applyFont="1" applyFill="1" applyAlignment="1">
      <alignment/>
    </xf>
    <xf numFmtId="0" fontId="28" fillId="0" borderId="0" xfId="0" applyFont="1" applyFill="1" applyAlignment="1">
      <alignment/>
    </xf>
    <xf numFmtId="0" fontId="5"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justify" vertical="center"/>
    </xf>
    <xf numFmtId="0" fontId="4" fillId="0" borderId="0" xfId="0" applyFont="1" applyAlignment="1">
      <alignment horizontal="justify" vertical="center"/>
    </xf>
    <xf numFmtId="0" fontId="41" fillId="0" borderId="0" xfId="0" applyFont="1" applyAlignment="1">
      <alignment horizontal="justify" vertical="center"/>
    </xf>
    <xf numFmtId="3" fontId="7" fillId="0" borderId="0" xfId="0" applyNumberFormat="1" applyFont="1" applyAlignment="1">
      <alignment horizontal="right"/>
    </xf>
    <xf numFmtId="0" fontId="7" fillId="0" borderId="0" xfId="0" applyFont="1" applyFill="1" applyBorder="1" applyAlignment="1" applyProtection="1">
      <alignment horizontal="left"/>
      <protection/>
    </xf>
    <xf numFmtId="3" fontId="4" fillId="0" borderId="0" xfId="0" applyNumberFormat="1" applyFont="1" applyFill="1" applyAlignment="1">
      <alignment vertical="center"/>
    </xf>
    <xf numFmtId="3" fontId="5" fillId="0" borderId="0" xfId="0" applyNumberFormat="1" applyFont="1" applyBorder="1" applyAlignment="1">
      <alignment horizontal="right" vertical="center"/>
    </xf>
    <xf numFmtId="3" fontId="0" fillId="0" borderId="0" xfId="0" applyNumberFormat="1" applyAlignment="1">
      <alignment vertical="center"/>
    </xf>
    <xf numFmtId="3" fontId="4" fillId="0" borderId="0" xfId="0" applyNumberFormat="1" applyFont="1" applyAlignment="1" quotePrefix="1">
      <alignment horizontal="left"/>
    </xf>
    <xf numFmtId="169" fontId="4" fillId="0" borderId="0" xfId="0" applyNumberFormat="1" applyFont="1" applyAlignment="1">
      <alignment/>
    </xf>
    <xf numFmtId="169" fontId="9" fillId="0" borderId="0" xfId="0" applyNumberFormat="1" applyFont="1" applyAlignment="1">
      <alignment/>
    </xf>
    <xf numFmtId="169" fontId="8" fillId="0" borderId="0" xfId="0" applyNumberFormat="1" applyFont="1" applyAlignment="1">
      <alignment/>
    </xf>
    <xf numFmtId="169" fontId="4" fillId="0" borderId="0" xfId="0" applyNumberFormat="1" applyFont="1" applyAlignment="1" quotePrefix="1">
      <alignment/>
    </xf>
    <xf numFmtId="3" fontId="8" fillId="0" borderId="0" xfId="64" applyNumberFormat="1" applyFont="1" applyAlignment="1">
      <alignment horizontal="right"/>
    </xf>
    <xf numFmtId="9" fontId="4" fillId="0" borderId="0" xfId="64" applyFont="1" applyAlignment="1">
      <alignment horizontal="right" vertical="center"/>
    </xf>
    <xf numFmtId="0" fontId="50" fillId="0" borderId="0" xfId="0" applyFont="1" applyFill="1" applyAlignment="1">
      <alignment/>
    </xf>
    <xf numFmtId="0" fontId="52" fillId="0" borderId="0" xfId="0" applyFont="1" applyAlignment="1">
      <alignment/>
    </xf>
    <xf numFmtId="168" fontId="7" fillId="0" borderId="0" xfId="64" applyNumberFormat="1" applyFont="1" applyFill="1" applyBorder="1" applyAlignment="1">
      <alignment horizontal="right" vertical="center"/>
    </xf>
    <xf numFmtId="168" fontId="13" fillId="0" borderId="0" xfId="64" applyNumberFormat="1" applyFont="1" applyFill="1" applyBorder="1" applyAlignment="1">
      <alignment horizontal="right" vertical="center"/>
    </xf>
    <xf numFmtId="0" fontId="14" fillId="0" borderId="0" xfId="0" applyFont="1" applyFill="1" applyAlignment="1">
      <alignment horizontal="left" vertical="center"/>
    </xf>
    <xf numFmtId="0" fontId="8" fillId="0" borderId="0" xfId="0" applyFont="1" applyAlignment="1">
      <alignment horizontal="left" vertical="center"/>
    </xf>
    <xf numFmtId="0" fontId="9" fillId="0" borderId="0" xfId="0" applyFont="1" applyFill="1" applyAlignment="1" quotePrefix="1">
      <alignment/>
    </xf>
    <xf numFmtId="3" fontId="7" fillId="0" borderId="0" xfId="64" applyNumberFormat="1" applyFont="1" applyFill="1" applyAlignment="1">
      <alignment/>
    </xf>
    <xf numFmtId="168" fontId="9" fillId="0" borderId="0" xfId="0" applyNumberFormat="1" applyFont="1" applyFill="1" applyAlignment="1">
      <alignment horizontal="right"/>
    </xf>
    <xf numFmtId="168" fontId="8" fillId="0" borderId="0" xfId="0" applyNumberFormat="1" applyFont="1" applyFill="1" applyAlignment="1">
      <alignment horizontal="right"/>
    </xf>
    <xf numFmtId="169" fontId="8" fillId="0" borderId="0" xfId="0" applyNumberFormat="1" applyFont="1" applyFill="1" applyAlignment="1">
      <alignment horizontal="right"/>
    </xf>
    <xf numFmtId="169" fontId="9" fillId="0" borderId="0" xfId="0" applyNumberFormat="1" applyFont="1" applyFill="1" applyAlignment="1">
      <alignment horizontal="right"/>
    </xf>
    <xf numFmtId="0" fontId="7" fillId="0" borderId="0" xfId="0" applyFont="1" applyFill="1" applyAlignment="1">
      <alignment horizontal="right"/>
    </xf>
    <xf numFmtId="0" fontId="7" fillId="0" borderId="0" xfId="0" applyFont="1" applyFill="1" applyAlignment="1">
      <alignment horizontal="right"/>
    </xf>
    <xf numFmtId="0" fontId="54" fillId="0" borderId="0" xfId="45" applyFont="1" applyAlignment="1" applyProtection="1">
      <alignment vertical="center"/>
      <protection/>
    </xf>
    <xf numFmtId="0" fontId="54" fillId="0" borderId="0" xfId="45" applyFont="1" applyFill="1" applyAlignment="1" applyProtection="1">
      <alignment vertical="center"/>
      <protection/>
    </xf>
    <xf numFmtId="0" fontId="55" fillId="0" borderId="0" xfId="0" applyFont="1" applyAlignment="1">
      <alignment/>
    </xf>
    <xf numFmtId="3" fontId="45" fillId="0" borderId="0" xfId="0" applyNumberFormat="1" applyFont="1" applyFill="1" applyAlignment="1">
      <alignment vertical="center"/>
    </xf>
    <xf numFmtId="168" fontId="8" fillId="0" borderId="0" xfId="0" applyNumberFormat="1" applyFont="1" applyFill="1" applyAlignment="1">
      <alignment horizontal="right"/>
    </xf>
    <xf numFmtId="0" fontId="56" fillId="0" borderId="0" xfId="0" applyFont="1" applyAlignment="1">
      <alignment/>
    </xf>
    <xf numFmtId="165" fontId="9" fillId="0" borderId="0" xfId="0" applyNumberFormat="1" applyFont="1" applyFill="1" applyAlignment="1">
      <alignment horizontal="right" vertical="center"/>
    </xf>
    <xf numFmtId="165" fontId="8" fillId="0" borderId="0" xfId="0" applyNumberFormat="1" applyFont="1" applyFill="1" applyAlignment="1">
      <alignment horizontal="right" vertical="center"/>
    </xf>
    <xf numFmtId="3" fontId="4" fillId="0" borderId="0" xfId="0" applyNumberFormat="1" applyFont="1" applyFill="1" applyBorder="1" applyAlignment="1" applyProtection="1">
      <alignment horizontal="right" vertical="center" wrapText="1"/>
      <protection locked="0"/>
    </xf>
    <xf numFmtId="3" fontId="7" fillId="0" borderId="0" xfId="0" applyNumberFormat="1" applyFont="1" applyAlignment="1" applyProtection="1">
      <alignment horizontal="right"/>
      <protection locked="0"/>
    </xf>
    <xf numFmtId="169" fontId="7" fillId="0" borderId="0" xfId="47" applyNumberFormat="1" applyFont="1" applyFill="1" applyBorder="1" applyAlignment="1" applyProtection="1">
      <alignment horizontal="right" vertical="top" wrapText="1"/>
      <protection locked="0"/>
    </xf>
    <xf numFmtId="169" fontId="7" fillId="0" borderId="0" xfId="0" applyNumberFormat="1" applyFont="1" applyAlignment="1" applyProtection="1">
      <alignment/>
      <protection/>
    </xf>
    <xf numFmtId="169" fontId="7" fillId="0" borderId="0" xfId="47" applyNumberFormat="1" applyFont="1" applyFill="1" applyBorder="1" applyAlignment="1" applyProtection="1">
      <alignment horizontal="right" vertical="center" wrapText="1"/>
      <protection locked="0"/>
    </xf>
    <xf numFmtId="169" fontId="7" fillId="0" borderId="0" xfId="0" applyNumberFormat="1" applyFont="1" applyAlignment="1" applyProtection="1">
      <alignment horizontal="center" vertical="center"/>
      <protection/>
    </xf>
    <xf numFmtId="169" fontId="4" fillId="0" borderId="0" xfId="0" applyNumberFormat="1" applyFont="1" applyFill="1" applyBorder="1" applyAlignment="1" applyProtection="1">
      <alignment horizontal="right" vertical="top"/>
      <protection/>
    </xf>
    <xf numFmtId="3" fontId="7" fillId="0" borderId="0" xfId="0" applyNumberFormat="1" applyFont="1" applyAlignment="1" applyProtection="1">
      <alignment/>
      <protection locked="0"/>
    </xf>
    <xf numFmtId="169" fontId="4" fillId="0" borderId="0" xfId="0" applyNumberFormat="1" applyFont="1" applyFill="1" applyBorder="1" applyAlignment="1" applyProtection="1">
      <alignment horizontal="right" vertical="center" wrapText="1"/>
      <protection locked="0"/>
    </xf>
    <xf numFmtId="169" fontId="4" fillId="0" borderId="0" xfId="0" applyNumberFormat="1" applyFont="1" applyFill="1" applyBorder="1" applyAlignment="1" applyProtection="1">
      <alignment horizontal="right" vertical="center"/>
      <protection locked="0"/>
    </xf>
    <xf numFmtId="3" fontId="7" fillId="0" borderId="0" xfId="0" applyNumberFormat="1" applyFont="1" applyAlignment="1" applyProtection="1">
      <alignment vertical="center"/>
      <protection locked="0"/>
    </xf>
    <xf numFmtId="3" fontId="4" fillId="0" borderId="0" xfId="0" applyNumberFormat="1" applyFont="1" applyFill="1" applyBorder="1" applyAlignment="1" applyProtection="1">
      <alignment horizontal="right" vertical="center"/>
      <protection locked="0"/>
    </xf>
    <xf numFmtId="3" fontId="7" fillId="0" borderId="0" xfId="47" applyNumberFormat="1" applyFont="1" applyFill="1" applyBorder="1" applyAlignment="1" applyProtection="1">
      <alignment horizontal="right" vertical="center" wrapText="1"/>
      <protection locked="0"/>
    </xf>
    <xf numFmtId="3" fontId="5" fillId="0" borderId="0" xfId="0" applyNumberFormat="1" applyFont="1" applyFill="1" applyBorder="1" applyAlignment="1" applyProtection="1">
      <alignment horizontal="right" vertical="center"/>
      <protection/>
    </xf>
    <xf numFmtId="165" fontId="13" fillId="0" borderId="10" xfId="0" applyNumberFormat="1" applyFont="1" applyBorder="1" applyAlignment="1">
      <alignment horizontal="right" vertical="center"/>
    </xf>
    <xf numFmtId="169" fontId="5" fillId="0" borderId="0" xfId="0" applyNumberFormat="1" applyFont="1" applyFill="1" applyBorder="1" applyAlignment="1" applyProtection="1">
      <alignment horizontal="right" vertical="top"/>
      <protection/>
    </xf>
    <xf numFmtId="169" fontId="5" fillId="0" borderId="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vertical="center"/>
      <protection locked="0"/>
    </xf>
    <xf numFmtId="171" fontId="7" fillId="0" borderId="10" xfId="0" applyNumberFormat="1" applyFont="1" applyBorder="1" applyAlignment="1">
      <alignment vertical="center"/>
    </xf>
    <xf numFmtId="0" fontId="7" fillId="0" borderId="10" xfId="0" applyFont="1" applyBorder="1" applyAlignment="1">
      <alignment vertical="center"/>
    </xf>
    <xf numFmtId="3" fontId="5" fillId="0" borderId="0" xfId="0" applyNumberFormat="1" applyFont="1" applyFill="1" applyBorder="1" applyAlignment="1" applyProtection="1">
      <alignment vertical="top"/>
      <protection/>
    </xf>
    <xf numFmtId="169" fontId="5" fillId="0" borderId="0" xfId="0" applyNumberFormat="1" applyFont="1" applyFill="1" applyBorder="1" applyAlignment="1" applyProtection="1">
      <alignment horizontal="right" vertical="top"/>
      <protection locked="0"/>
    </xf>
    <xf numFmtId="170" fontId="13" fillId="0" borderId="10" xfId="0" applyNumberFormat="1" applyFont="1" applyFill="1" applyBorder="1" applyAlignment="1">
      <alignment vertical="center"/>
    </xf>
    <xf numFmtId="3" fontId="4" fillId="0" borderId="0" xfId="0" applyNumberFormat="1" applyFont="1" applyFill="1" applyBorder="1" applyAlignment="1" applyProtection="1">
      <alignment vertical="center"/>
      <protection locked="0"/>
    </xf>
    <xf numFmtId="3" fontId="7" fillId="0" borderId="0" xfId="64" applyNumberFormat="1" applyFont="1" applyFill="1" applyBorder="1" applyAlignment="1">
      <alignment horizontal="right" vertical="center"/>
    </xf>
    <xf numFmtId="3" fontId="13" fillId="0" borderId="0" xfId="64" applyNumberFormat="1" applyFont="1" applyFill="1" applyBorder="1" applyAlignment="1">
      <alignment horizontal="right" vertical="center"/>
    </xf>
    <xf numFmtId="3" fontId="7" fillId="0" borderId="0" xfId="0" applyNumberFormat="1" applyFont="1" applyFill="1" applyAlignment="1" applyProtection="1">
      <alignment vertical="center"/>
      <protection locked="0"/>
    </xf>
    <xf numFmtId="3" fontId="5" fillId="0" borderId="0" xfId="0" applyNumberFormat="1" applyFont="1" applyFill="1" applyBorder="1" applyAlignment="1" applyProtection="1">
      <alignment horizontal="right" vertical="center"/>
      <protection locked="0"/>
    </xf>
    <xf numFmtId="3" fontId="7" fillId="0" borderId="0" xfId="47" applyNumberFormat="1" applyFont="1" applyFill="1" applyBorder="1" applyAlignment="1">
      <alignment horizontal="right" vertical="center" wrapText="1"/>
    </xf>
    <xf numFmtId="3" fontId="4" fillId="0" borderId="0" xfId="0" applyNumberFormat="1" applyFont="1" applyAlignment="1" applyProtection="1">
      <alignment vertical="center"/>
      <protection locked="0"/>
    </xf>
    <xf numFmtId="168" fontId="7" fillId="0" borderId="0" xfId="0" applyNumberFormat="1" applyFont="1" applyAlignment="1">
      <alignment/>
    </xf>
    <xf numFmtId="3" fontId="4" fillId="0" borderId="0" xfId="0" applyNumberFormat="1" applyFont="1" applyFill="1" applyBorder="1" applyAlignment="1" applyProtection="1">
      <alignment/>
      <protection locked="0"/>
    </xf>
    <xf numFmtId="3" fontId="4" fillId="0" borderId="0" xfId="0" applyNumberFormat="1" applyFont="1" applyAlignment="1" applyProtection="1">
      <alignment/>
      <protection locked="0"/>
    </xf>
    <xf numFmtId="3" fontId="7" fillId="0" borderId="0" xfId="0" applyNumberFormat="1" applyFont="1" applyFill="1" applyBorder="1" applyAlignment="1" applyProtection="1">
      <alignment horizontal="right"/>
      <protection locked="0"/>
    </xf>
    <xf numFmtId="3" fontId="7" fillId="0" borderId="0" xfId="0" applyNumberFormat="1" applyFont="1" applyFill="1" applyBorder="1" applyAlignment="1" applyProtection="1">
      <alignment horizontal="right" vertical="top"/>
      <protection locked="0"/>
    </xf>
    <xf numFmtId="3" fontId="7" fillId="0" borderId="0" xfId="0" applyNumberFormat="1" applyFont="1" applyBorder="1" applyAlignment="1">
      <alignment/>
    </xf>
    <xf numFmtId="3" fontId="13" fillId="0" borderId="0" xfId="0" applyNumberFormat="1" applyFont="1" applyBorder="1" applyAlignment="1">
      <alignment/>
    </xf>
    <xf numFmtId="169" fontId="9" fillId="0" borderId="0" xfId="0" applyNumberFormat="1" applyFont="1" applyFill="1" applyBorder="1" applyAlignment="1" applyProtection="1">
      <alignment/>
      <protection locked="0"/>
    </xf>
    <xf numFmtId="169" fontId="14" fillId="0" borderId="0" xfId="0" applyNumberFormat="1" applyFont="1" applyFill="1" applyBorder="1" applyAlignment="1" applyProtection="1">
      <alignment/>
      <protection locked="0"/>
    </xf>
    <xf numFmtId="165" fontId="9" fillId="0" borderId="0" xfId="0" applyNumberFormat="1" applyFont="1" applyAlignment="1" applyProtection="1">
      <alignment/>
      <protection locked="0"/>
    </xf>
    <xf numFmtId="1" fontId="7" fillId="0" borderId="0" xfId="0" applyNumberFormat="1" applyFont="1" applyAlignment="1" applyProtection="1">
      <alignment/>
      <protection locked="0"/>
    </xf>
    <xf numFmtId="1" fontId="7" fillId="0" borderId="0" xfId="0" applyNumberFormat="1" applyFont="1" applyAlignment="1" applyProtection="1">
      <alignment/>
      <protection locked="0"/>
    </xf>
    <xf numFmtId="1" fontId="5" fillId="0" borderId="0" xfId="0" applyNumberFormat="1" applyFont="1" applyFill="1" applyBorder="1" applyAlignment="1" applyProtection="1">
      <alignment horizontal="right" wrapText="1"/>
      <protection/>
    </xf>
    <xf numFmtId="3" fontId="8" fillId="0" borderId="0" xfId="0" applyNumberFormat="1" applyFont="1" applyBorder="1" applyAlignment="1">
      <alignment/>
    </xf>
    <xf numFmtId="3" fontId="13" fillId="0" borderId="0" xfId="0" applyNumberFormat="1" applyFont="1" applyFill="1" applyBorder="1" applyAlignment="1" applyProtection="1">
      <alignment horizontal="right"/>
      <protection/>
    </xf>
    <xf numFmtId="165" fontId="7" fillId="0" borderId="0" xfId="0" applyNumberFormat="1" applyFont="1" applyFill="1" applyBorder="1" applyAlignment="1" applyProtection="1">
      <alignment horizontal="right" vertical="center" wrapText="1"/>
      <protection locked="0"/>
    </xf>
    <xf numFmtId="165" fontId="7" fillId="0" borderId="0" xfId="0" applyNumberFormat="1" applyFont="1" applyAlignment="1" applyProtection="1">
      <alignment vertical="center"/>
      <protection locked="0"/>
    </xf>
    <xf numFmtId="3" fontId="7"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165" fontId="13" fillId="0" borderId="0" xfId="0" applyNumberFormat="1" applyFont="1" applyFill="1" applyBorder="1" applyAlignment="1" applyProtection="1">
      <alignment vertical="center"/>
      <protection/>
    </xf>
    <xf numFmtId="165" fontId="5" fillId="0" borderId="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165" fontId="7" fillId="0" borderId="0" xfId="0" applyNumberFormat="1" applyFont="1" applyFill="1" applyBorder="1" applyAlignment="1" applyProtection="1">
      <alignment vertical="center" wrapText="1"/>
      <protection locked="0"/>
    </xf>
    <xf numFmtId="165" fontId="7" fillId="0" borderId="0" xfId="59" applyNumberFormat="1" applyFont="1" applyFill="1" applyBorder="1" applyAlignment="1" applyProtection="1">
      <alignment horizontal="right" vertical="center" wrapText="1"/>
      <protection locked="0"/>
    </xf>
    <xf numFmtId="165" fontId="7" fillId="0" borderId="0" xfId="0" applyNumberFormat="1" applyFont="1" applyFill="1" applyBorder="1" applyAlignment="1" applyProtection="1">
      <alignment vertical="center"/>
      <protection locked="0"/>
    </xf>
    <xf numFmtId="3" fontId="7" fillId="0" borderId="0" xfId="59" applyNumberFormat="1" applyFont="1" applyFill="1" applyBorder="1" applyAlignment="1">
      <alignment horizontal="right" vertical="center" wrapText="1"/>
      <protection/>
    </xf>
    <xf numFmtId="3" fontId="5" fillId="0" borderId="0" xfId="0" applyNumberFormat="1" applyFont="1" applyFill="1" applyBorder="1" applyAlignment="1" applyProtection="1">
      <alignment vertical="center"/>
      <protection locked="0"/>
    </xf>
    <xf numFmtId="0" fontId="18" fillId="0" borderId="0" xfId="0" applyFont="1" applyFill="1" applyBorder="1" applyAlignment="1">
      <alignment/>
    </xf>
    <xf numFmtId="1" fontId="7" fillId="0" borderId="0" xfId="0" applyNumberFormat="1" applyFont="1" applyFill="1" applyBorder="1" applyAlignment="1">
      <alignment vertical="center"/>
    </xf>
    <xf numFmtId="3" fontId="4" fillId="0" borderId="0" xfId="60" applyNumberFormat="1" applyFont="1" applyFill="1" applyBorder="1" applyAlignment="1" applyProtection="1">
      <alignment horizontal="right" vertical="center"/>
      <protection locked="0"/>
    </xf>
    <xf numFmtId="3" fontId="4" fillId="0" borderId="0" xfId="61" applyNumberFormat="1" applyFont="1" applyFill="1" applyBorder="1" applyAlignment="1" applyProtection="1">
      <alignment horizontal="right" vertical="center"/>
      <protection locked="0"/>
    </xf>
    <xf numFmtId="3" fontId="7" fillId="0" borderId="0" xfId="0" applyNumberFormat="1" applyFont="1" applyFill="1" applyBorder="1" applyAlignment="1" applyProtection="1">
      <alignment horizontal="right" vertical="center" wrapText="1"/>
      <protection locked="0"/>
    </xf>
    <xf numFmtId="3" fontId="7" fillId="0" borderId="0" xfId="0" applyNumberFormat="1" applyFont="1" applyFill="1" applyBorder="1" applyAlignment="1" applyProtection="1">
      <alignment vertical="center" wrapText="1"/>
      <protection locked="0"/>
    </xf>
    <xf numFmtId="165" fontId="9" fillId="0" borderId="0" xfId="0" applyNumberFormat="1" applyFont="1" applyFill="1" applyBorder="1" applyAlignment="1" applyProtection="1">
      <alignment vertical="center" wrapText="1"/>
      <protection locked="0"/>
    </xf>
    <xf numFmtId="165" fontId="9" fillId="0" borderId="0" xfId="0" applyNumberFormat="1" applyFont="1" applyAlignment="1" applyProtection="1">
      <alignment vertical="center"/>
      <protection locked="0"/>
    </xf>
    <xf numFmtId="165" fontId="9" fillId="0" borderId="0" xfId="0" applyNumberFormat="1" applyFont="1" applyFill="1" applyBorder="1" applyAlignment="1">
      <alignment vertical="center" wrapText="1"/>
    </xf>
    <xf numFmtId="165" fontId="8" fillId="0" borderId="0" xfId="0" applyNumberFormat="1" applyFont="1" applyAlignment="1" applyProtection="1">
      <alignment vertical="center"/>
      <protection locked="0"/>
    </xf>
    <xf numFmtId="3" fontId="13" fillId="0" borderId="0" xfId="0" applyNumberFormat="1" applyFont="1" applyFill="1" applyBorder="1" applyAlignment="1" applyProtection="1">
      <alignment vertical="center"/>
      <protection/>
    </xf>
    <xf numFmtId="165" fontId="8" fillId="0" borderId="0" xfId="0" applyNumberFormat="1" applyFont="1" applyFill="1" applyBorder="1" applyAlignment="1" applyProtection="1">
      <alignment vertical="center"/>
      <protection/>
    </xf>
    <xf numFmtId="0" fontId="34" fillId="0" borderId="0" xfId="0" applyFont="1" applyBorder="1" applyAlignment="1">
      <alignment horizontal="right" vertical="center"/>
    </xf>
    <xf numFmtId="168" fontId="14" fillId="0" borderId="0" xfId="0" applyNumberFormat="1" applyFont="1" applyBorder="1" applyAlignment="1">
      <alignment horizontal="right" vertical="center"/>
    </xf>
    <xf numFmtId="0" fontId="5" fillId="0" borderId="0" xfId="0" applyFont="1" applyFill="1" applyBorder="1" applyAlignment="1">
      <alignment horizontal="right" vertical="center" wrapText="1"/>
    </xf>
    <xf numFmtId="0" fontId="4" fillId="0" borderId="0" xfId="0" applyFont="1" applyFill="1" applyBorder="1" applyAlignment="1">
      <alignment horizontal="right" vertical="center" wrapText="1"/>
    </xf>
    <xf numFmtId="3" fontId="7" fillId="0" borderId="0" xfId="0" applyNumberFormat="1" applyFont="1" applyBorder="1" applyAlignment="1" applyProtection="1">
      <alignment vertical="center"/>
      <protection locked="0"/>
    </xf>
    <xf numFmtId="0" fontId="5" fillId="0" borderId="0" xfId="0" applyFont="1" applyBorder="1" applyAlignment="1">
      <alignment horizontal="right" vertical="center"/>
    </xf>
    <xf numFmtId="0" fontId="4" fillId="0" borderId="0" xfId="0" applyFont="1" applyBorder="1" applyAlignment="1">
      <alignment horizontal="right" vertical="center"/>
    </xf>
    <xf numFmtId="3" fontId="4" fillId="0" borderId="0" xfId="0" applyNumberFormat="1" applyFont="1" applyFill="1" applyBorder="1" applyAlignment="1" applyProtection="1">
      <alignment horizontal="right" wrapText="1"/>
      <protection locked="0"/>
    </xf>
    <xf numFmtId="3" fontId="4" fillId="0" borderId="0" xfId="0" applyNumberFormat="1" applyFont="1" applyFill="1" applyBorder="1" applyAlignment="1" applyProtection="1">
      <alignment horizontal="right"/>
      <protection locked="0"/>
    </xf>
    <xf numFmtId="3" fontId="5" fillId="0" borderId="0" xfId="0" applyNumberFormat="1" applyFont="1" applyFill="1" applyBorder="1" applyAlignment="1" applyProtection="1">
      <alignment horizontal="right" wrapText="1"/>
      <protection locked="0"/>
    </xf>
    <xf numFmtId="0" fontId="35" fillId="0" borderId="0" xfId="0" applyFont="1" applyBorder="1" applyAlignment="1">
      <alignment vertical="center"/>
    </xf>
    <xf numFmtId="0" fontId="35" fillId="0" borderId="0" xfId="0" applyFont="1" applyBorder="1" applyAlignment="1">
      <alignment horizontal="right" vertical="center"/>
    </xf>
    <xf numFmtId="0" fontId="39" fillId="0" borderId="0" xfId="0" applyFont="1" applyBorder="1" applyAlignment="1">
      <alignment vertical="center"/>
    </xf>
    <xf numFmtId="0" fontId="39" fillId="0" borderId="0" xfId="0" applyFont="1" applyBorder="1" applyAlignment="1">
      <alignment horizontal="right" vertical="center"/>
    </xf>
    <xf numFmtId="3" fontId="13" fillId="0" borderId="0" xfId="0" applyNumberFormat="1" applyFont="1" applyFill="1" applyBorder="1" applyAlignment="1" applyProtection="1">
      <alignment horizontal="right" wrapText="1"/>
      <protection/>
    </xf>
    <xf numFmtId="3" fontId="13" fillId="0" borderId="0" xfId="0" applyNumberFormat="1" applyFont="1" applyFill="1" applyBorder="1" applyAlignment="1" applyProtection="1">
      <alignment horizontal="right" vertical="center"/>
      <protection/>
    </xf>
    <xf numFmtId="3" fontId="7" fillId="0" borderId="0" xfId="0" applyNumberFormat="1" applyFont="1" applyBorder="1" applyAlignment="1" applyProtection="1">
      <alignment/>
      <protection locked="0"/>
    </xf>
    <xf numFmtId="3" fontId="13" fillId="0" borderId="0" xfId="0" applyNumberFormat="1" applyFont="1" applyFill="1" applyBorder="1" applyAlignment="1" applyProtection="1">
      <alignment horizontal="right" vertical="center" wrapText="1"/>
      <protection locked="0"/>
    </xf>
    <xf numFmtId="3" fontId="13" fillId="0" borderId="0" xfId="0" applyNumberFormat="1" applyFont="1" applyFill="1" applyBorder="1" applyAlignment="1" applyProtection="1">
      <alignment horizontal="right"/>
      <protection locked="0"/>
    </xf>
    <xf numFmtId="3" fontId="5" fillId="0" borderId="0" xfId="0" applyNumberFormat="1" applyFont="1" applyFill="1" applyBorder="1" applyAlignment="1" applyProtection="1">
      <alignment horizontal="right" vertical="center" wrapText="1"/>
      <protection locked="0"/>
    </xf>
    <xf numFmtId="3" fontId="13" fillId="0" borderId="0" xfId="0" applyNumberFormat="1" applyFont="1" applyFill="1" applyBorder="1" applyAlignment="1" applyProtection="1">
      <alignment horizontal="right" vertical="center"/>
      <protection locked="0"/>
    </xf>
    <xf numFmtId="3" fontId="5" fillId="0" borderId="0" xfId="0" applyNumberFormat="1" applyFont="1" applyFill="1" applyBorder="1" applyAlignment="1" applyProtection="1">
      <alignment horizontal="right"/>
      <protection locked="0"/>
    </xf>
    <xf numFmtId="3" fontId="7" fillId="0" borderId="0" xfId="0" applyNumberFormat="1" applyFont="1" applyFill="1" applyBorder="1" applyAlignment="1" applyProtection="1">
      <alignment horizontal="right" wrapText="1"/>
      <protection locked="0"/>
    </xf>
    <xf numFmtId="3" fontId="7" fillId="0" borderId="0" xfId="54" applyNumberFormat="1" applyFont="1" applyFill="1" applyBorder="1" applyAlignment="1">
      <alignment horizontal="right"/>
      <protection/>
    </xf>
    <xf numFmtId="3" fontId="13" fillId="0" borderId="0" xfId="0" applyNumberFormat="1" applyFont="1" applyFill="1" applyBorder="1" applyAlignment="1">
      <alignment horizontal="right"/>
    </xf>
    <xf numFmtId="165" fontId="60" fillId="0" borderId="0" xfId="0" applyNumberFormat="1" applyFont="1" applyAlignment="1">
      <alignment/>
    </xf>
    <xf numFmtId="0" fontId="6" fillId="0" borderId="0" xfId="0" applyFont="1" applyAlignment="1">
      <alignment/>
    </xf>
    <xf numFmtId="165" fontId="7" fillId="0" borderId="0" xfId="47" applyNumberFormat="1" applyFont="1" applyFill="1" applyBorder="1" applyAlignment="1" applyProtection="1">
      <alignment horizontal="right" vertical="center" wrapText="1"/>
      <protection locked="0"/>
    </xf>
    <xf numFmtId="3" fontId="7" fillId="0" borderId="0" xfId="0" applyNumberFormat="1" applyFont="1" applyFill="1" applyBorder="1" applyAlignment="1" applyProtection="1">
      <alignment vertical="center"/>
      <protection locked="0"/>
    </xf>
    <xf numFmtId="165" fontId="7" fillId="0" borderId="0" xfId="0" applyNumberFormat="1" applyFont="1" applyBorder="1" applyAlignment="1" applyProtection="1">
      <alignment vertical="center"/>
      <protection locked="0"/>
    </xf>
    <xf numFmtId="165" fontId="7" fillId="0" borderId="0" xfId="0" applyNumberFormat="1" applyFont="1" applyBorder="1" applyAlignment="1">
      <alignment/>
    </xf>
    <xf numFmtId="165" fontId="13" fillId="0" borderId="0" xfId="0" applyNumberFormat="1" applyFont="1" applyBorder="1" applyAlignment="1">
      <alignment/>
    </xf>
    <xf numFmtId="165" fontId="7" fillId="0" borderId="0" xfId="0" applyNumberFormat="1" applyFont="1" applyBorder="1" applyAlignment="1">
      <alignment/>
    </xf>
    <xf numFmtId="3" fontId="7" fillId="0" borderId="0" xfId="0" applyNumberFormat="1" applyFont="1" applyBorder="1" applyAlignment="1" applyProtection="1">
      <alignment vertical="center"/>
      <protection locked="0"/>
    </xf>
    <xf numFmtId="165" fontId="5" fillId="0" borderId="0" xfId="0" applyNumberFormat="1" applyFont="1" applyFill="1" applyBorder="1" applyAlignment="1" applyProtection="1">
      <alignment horizontal="right" vertical="center"/>
      <protection/>
    </xf>
    <xf numFmtId="3" fontId="13" fillId="0" borderId="0" xfId="0" applyNumberFormat="1" applyFont="1" applyBorder="1" applyAlignment="1" quotePrefix="1">
      <alignment/>
    </xf>
    <xf numFmtId="169" fontId="13" fillId="0" borderId="0" xfId="0" applyNumberFormat="1" applyFont="1" applyBorder="1" applyAlignment="1" quotePrefix="1">
      <alignment/>
    </xf>
    <xf numFmtId="3" fontId="7" fillId="0" borderId="0" xfId="0" applyNumberFormat="1" applyFont="1" applyBorder="1" applyAlignment="1" quotePrefix="1">
      <alignment/>
    </xf>
    <xf numFmtId="169" fontId="7" fillId="0" borderId="0" xfId="0" applyNumberFormat="1" applyFont="1" applyBorder="1" applyAlignment="1" quotePrefix="1">
      <alignment/>
    </xf>
    <xf numFmtId="3" fontId="57" fillId="0" borderId="0" xfId="0" applyNumberFormat="1" applyFont="1" applyAlignment="1">
      <alignment/>
    </xf>
    <xf numFmtId="3" fontId="56" fillId="0" borderId="0" xfId="0" applyNumberFormat="1" applyFont="1" applyAlignment="1">
      <alignment horizontal="right"/>
    </xf>
    <xf numFmtId="0" fontId="15" fillId="0" borderId="0" xfId="0" applyFont="1" applyFill="1" applyBorder="1" applyAlignment="1">
      <alignment horizontal="left" vertical="center" wrapText="1"/>
    </xf>
    <xf numFmtId="0" fontId="57" fillId="0" borderId="0" xfId="0" applyFont="1" applyAlignment="1">
      <alignment/>
    </xf>
    <xf numFmtId="0" fontId="61" fillId="0" borderId="0" xfId="0" applyFont="1" applyAlignment="1">
      <alignment/>
    </xf>
    <xf numFmtId="3" fontId="7" fillId="0" borderId="0" xfId="0" applyNumberFormat="1" applyFont="1" applyBorder="1" applyAlignment="1">
      <alignment vertical="center"/>
    </xf>
    <xf numFmtId="3" fontId="9" fillId="0" borderId="0" xfId="0" applyNumberFormat="1" applyFont="1" applyBorder="1" applyAlignment="1">
      <alignment/>
    </xf>
    <xf numFmtId="3" fontId="8" fillId="0" borderId="0" xfId="0" applyNumberFormat="1" applyFont="1" applyFill="1" applyAlignment="1">
      <alignment vertical="center"/>
    </xf>
    <xf numFmtId="168" fontId="9" fillId="0" borderId="0" xfId="0" applyNumberFormat="1" applyFont="1" applyAlignment="1">
      <alignment horizontal="right"/>
    </xf>
    <xf numFmtId="3" fontId="8" fillId="0" borderId="0" xfId="0" applyNumberFormat="1" applyFont="1" applyFill="1" applyAlignment="1">
      <alignment/>
    </xf>
    <xf numFmtId="3" fontId="62" fillId="0" borderId="0" xfId="0" applyNumberFormat="1" applyFont="1" applyAlignment="1">
      <alignment/>
    </xf>
    <xf numFmtId="169" fontId="4" fillId="0" borderId="0" xfId="0" applyNumberFormat="1" applyFont="1" applyFill="1" applyBorder="1" applyAlignment="1" applyProtection="1">
      <alignment horizontal="right"/>
      <protection/>
    </xf>
    <xf numFmtId="3" fontId="63" fillId="0" borderId="0" xfId="0" applyNumberFormat="1" applyFont="1" applyFill="1" applyBorder="1" applyAlignment="1" applyProtection="1">
      <alignment/>
      <protection/>
    </xf>
    <xf numFmtId="169" fontId="63" fillId="0" borderId="0" xfId="0" applyNumberFormat="1" applyFont="1" applyFill="1" applyBorder="1" applyAlignment="1" applyProtection="1">
      <alignment horizontal="right"/>
      <protection/>
    </xf>
    <xf numFmtId="3" fontId="56" fillId="0" borderId="0" xfId="0" applyNumberFormat="1" applyFont="1" applyAlignment="1">
      <alignment/>
    </xf>
    <xf numFmtId="168" fontId="8" fillId="0" borderId="0" xfId="64" applyNumberFormat="1" applyFont="1" applyAlignment="1">
      <alignment/>
    </xf>
    <xf numFmtId="3" fontId="13" fillId="0" borderId="0" xfId="0" applyNumberFormat="1" applyFont="1" applyBorder="1" applyAlignment="1" quotePrefix="1">
      <alignment/>
    </xf>
    <xf numFmtId="3" fontId="7" fillId="0" borderId="0" xfId="0" applyNumberFormat="1" applyFont="1" applyBorder="1" applyAlignment="1" quotePrefix="1">
      <alignment/>
    </xf>
    <xf numFmtId="3" fontId="9" fillId="0" borderId="0" xfId="0" applyNumberFormat="1" applyFont="1" applyBorder="1" applyAlignment="1" quotePrefix="1">
      <alignment/>
    </xf>
    <xf numFmtId="9" fontId="4" fillId="0" borderId="0" xfId="64" applyFont="1" applyBorder="1" applyAlignment="1">
      <alignment/>
    </xf>
    <xf numFmtId="0" fontId="6" fillId="0" borderId="0" xfId="0" applyNumberFormat="1" applyFont="1" applyAlignment="1" quotePrefix="1">
      <alignment/>
    </xf>
    <xf numFmtId="0" fontId="6" fillId="0" borderId="0" xfId="0" applyNumberFormat="1" applyFont="1" applyAlignment="1">
      <alignment/>
    </xf>
    <xf numFmtId="0" fontId="7" fillId="0" borderId="0" xfId="0" applyNumberFormat="1" applyFont="1" applyBorder="1" applyAlignment="1" quotePrefix="1">
      <alignment/>
    </xf>
    <xf numFmtId="0" fontId="9" fillId="0" borderId="0" xfId="0" applyNumberFormat="1" applyFont="1" applyBorder="1" applyAlignment="1">
      <alignment/>
    </xf>
    <xf numFmtId="3" fontId="9" fillId="0" borderId="0" xfId="0" applyNumberFormat="1" applyFont="1" applyFill="1" applyBorder="1" applyAlignment="1" applyProtection="1">
      <alignment horizontal="right" wrapText="1"/>
      <protection locked="0"/>
    </xf>
    <xf numFmtId="3" fontId="8" fillId="0" borderId="0" xfId="0" applyNumberFormat="1" applyFont="1" applyFill="1" applyBorder="1" applyAlignment="1" applyProtection="1">
      <alignment horizontal="right" wrapText="1"/>
      <protection/>
    </xf>
    <xf numFmtId="3" fontId="9" fillId="0" borderId="0" xfId="0" applyNumberFormat="1" applyFont="1" applyAlignment="1" applyProtection="1">
      <alignment/>
      <protection locked="0"/>
    </xf>
    <xf numFmtId="3" fontId="7" fillId="0" borderId="0" xfId="0" applyNumberFormat="1" applyFont="1" applyBorder="1" applyAlignment="1">
      <alignment horizontal="right"/>
    </xf>
    <xf numFmtId="1" fontId="15" fillId="0" borderId="0" xfId="67" applyNumberFormat="1" applyFont="1" applyFill="1" applyAlignment="1">
      <alignment/>
    </xf>
    <xf numFmtId="9" fontId="15" fillId="0" borderId="0" xfId="67" applyFont="1" applyFill="1" applyAlignment="1">
      <alignment/>
    </xf>
    <xf numFmtId="9" fontId="4" fillId="0" borderId="0" xfId="67" applyFont="1" applyAlignment="1">
      <alignment/>
    </xf>
    <xf numFmtId="9" fontId="5" fillId="0" borderId="0" xfId="67" applyFont="1" applyAlignment="1">
      <alignment/>
    </xf>
    <xf numFmtId="0" fontId="6" fillId="0" borderId="0" xfId="0" applyNumberFormat="1" applyFont="1" applyFill="1" applyAlignment="1" quotePrefix="1">
      <alignment horizontal="left"/>
    </xf>
    <xf numFmtId="0" fontId="6" fillId="0" borderId="0" xfId="0" applyFont="1" applyFill="1" applyAlignment="1">
      <alignment horizontal="left"/>
    </xf>
    <xf numFmtId="3" fontId="13" fillId="0" borderId="0" xfId="0" applyNumberFormat="1" applyFont="1" applyBorder="1" applyAlignment="1">
      <alignment horizontal="right"/>
    </xf>
    <xf numFmtId="168" fontId="7" fillId="0" borderId="0" xfId="0" applyNumberFormat="1" applyFont="1" applyAlignment="1">
      <alignment/>
    </xf>
    <xf numFmtId="168" fontId="13" fillId="0" borderId="0" xfId="0" applyNumberFormat="1" applyFont="1" applyFill="1" applyAlignment="1">
      <alignment/>
    </xf>
    <xf numFmtId="168" fontId="9" fillId="0" borderId="0" xfId="0" applyNumberFormat="1" applyFont="1" applyAlignment="1">
      <alignment/>
    </xf>
    <xf numFmtId="168" fontId="8" fillId="0" borderId="0" xfId="0" applyNumberFormat="1" applyFont="1" applyFill="1" applyAlignment="1">
      <alignment/>
    </xf>
    <xf numFmtId="168" fontId="7" fillId="0" borderId="0" xfId="0" applyNumberFormat="1" applyFont="1" applyAlignment="1">
      <alignment horizontal="right"/>
    </xf>
    <xf numFmtId="168" fontId="7" fillId="0" borderId="0" xfId="0" applyNumberFormat="1" applyFont="1" applyBorder="1" applyAlignment="1">
      <alignment/>
    </xf>
    <xf numFmtId="0" fontId="4" fillId="0" borderId="0" xfId="0" applyNumberFormat="1" applyFont="1" applyBorder="1" applyAlignment="1" quotePrefix="1">
      <alignment horizontal="left"/>
    </xf>
    <xf numFmtId="168" fontId="9" fillId="0" borderId="0" xfId="0" applyNumberFormat="1" applyFont="1" applyBorder="1" applyAlignment="1">
      <alignment/>
    </xf>
    <xf numFmtId="0" fontId="6" fillId="0" borderId="0" xfId="0" applyNumberFormat="1" applyFont="1" applyAlignment="1" quotePrefix="1">
      <alignment horizontal="left"/>
    </xf>
    <xf numFmtId="0" fontId="6" fillId="0" borderId="0" xfId="0" applyFont="1" applyAlignment="1">
      <alignment horizontal="left"/>
    </xf>
    <xf numFmtId="168" fontId="13" fillId="0" borderId="0" xfId="0" applyNumberFormat="1" applyFont="1" applyBorder="1" applyAlignment="1">
      <alignment/>
    </xf>
    <xf numFmtId="168" fontId="8" fillId="0" borderId="0" xfId="0" applyNumberFormat="1" applyFont="1" applyBorder="1" applyAlignment="1">
      <alignment/>
    </xf>
    <xf numFmtId="0" fontId="9" fillId="0" borderId="0" xfId="0" applyFont="1" applyAlignment="1">
      <alignment/>
    </xf>
    <xf numFmtId="0" fontId="14" fillId="0" borderId="0" xfId="0" applyFont="1" applyFill="1" applyAlignment="1">
      <alignment/>
    </xf>
    <xf numFmtId="3" fontId="9" fillId="0" borderId="0" xfId="65" applyNumberFormat="1" applyFont="1" applyAlignment="1">
      <alignment/>
    </xf>
    <xf numFmtId="3" fontId="8" fillId="0" borderId="0" xfId="65" applyNumberFormat="1" applyFont="1" applyAlignment="1">
      <alignment/>
    </xf>
    <xf numFmtId="3" fontId="13" fillId="0" borderId="0" xfId="65" applyNumberFormat="1" applyFont="1" applyFill="1" applyBorder="1" applyAlignment="1">
      <alignment horizontal="right" vertical="center"/>
    </xf>
    <xf numFmtId="3" fontId="5" fillId="0" borderId="0" xfId="0" applyNumberFormat="1" applyFont="1" applyFill="1" applyBorder="1" applyAlignment="1" applyProtection="1">
      <alignment/>
      <protection/>
    </xf>
    <xf numFmtId="3" fontId="18" fillId="0" borderId="0" xfId="0" applyNumberFormat="1" applyFont="1" applyFill="1" applyBorder="1" applyAlignment="1">
      <alignment horizontal="right" vertical="center"/>
    </xf>
    <xf numFmtId="9" fontId="13" fillId="0" borderId="0" xfId="0" applyNumberFormat="1" applyFont="1" applyFill="1" applyBorder="1" applyAlignment="1">
      <alignment horizontal="right" vertical="center"/>
    </xf>
    <xf numFmtId="0" fontId="107" fillId="0" borderId="0" xfId="0" applyFont="1" applyAlignment="1">
      <alignment/>
    </xf>
    <xf numFmtId="0" fontId="15" fillId="0" borderId="0" xfId="55" applyFont="1" applyFill="1">
      <alignment/>
      <protection/>
    </xf>
    <xf numFmtId="0" fontId="15" fillId="0" borderId="0" xfId="55" applyFont="1" applyFill="1" applyAlignment="1">
      <alignment horizontal="left"/>
      <protection/>
    </xf>
    <xf numFmtId="0" fontId="15" fillId="0" borderId="0" xfId="55" applyFont="1" applyAlignment="1">
      <alignment horizontal="left"/>
      <protection/>
    </xf>
    <xf numFmtId="0" fontId="7" fillId="0" borderId="0" xfId="55" applyFont="1">
      <alignment/>
      <protection/>
    </xf>
    <xf numFmtId="0" fontId="17" fillId="0" borderId="0" xfId="55" applyFont="1" applyFill="1" applyAlignment="1">
      <alignment/>
      <protection/>
    </xf>
    <xf numFmtId="0" fontId="13" fillId="0" borderId="0" xfId="55" applyFont="1" applyAlignment="1">
      <alignment vertical="center"/>
      <protection/>
    </xf>
    <xf numFmtId="0" fontId="7" fillId="0" borderId="0" xfId="55" applyFont="1" applyAlignment="1">
      <alignment horizontal="right"/>
      <protection/>
    </xf>
    <xf numFmtId="0" fontId="13" fillId="0" borderId="0" xfId="55" applyFont="1" applyFill="1">
      <alignment/>
      <protection/>
    </xf>
    <xf numFmtId="0" fontId="7" fillId="0" borderId="0" xfId="55" applyFont="1" applyBorder="1" applyAlignment="1">
      <alignment horizontal="right" vertical="center"/>
      <protection/>
    </xf>
    <xf numFmtId="0" fontId="7" fillId="0" borderId="0" xfId="55" applyFont="1" applyBorder="1" applyAlignment="1">
      <alignment horizontal="right" vertical="center" wrapText="1"/>
      <protection/>
    </xf>
    <xf numFmtId="0" fontId="13" fillId="0" borderId="0" xfId="55" applyFont="1" applyFill="1" applyBorder="1" applyAlignment="1">
      <alignment horizontal="right" vertical="center" wrapText="1"/>
      <protection/>
    </xf>
    <xf numFmtId="0" fontId="13" fillId="0" borderId="0" xfId="55" applyFont="1" applyFill="1" applyAlignment="1">
      <alignment/>
      <protection/>
    </xf>
    <xf numFmtId="168" fontId="7" fillId="0" borderId="0" xfId="66" applyNumberFormat="1" applyFont="1" applyFill="1" applyBorder="1" applyAlignment="1" applyProtection="1">
      <alignment vertical="center"/>
      <protection/>
    </xf>
    <xf numFmtId="168" fontId="13" fillId="0" borderId="0" xfId="66" applyNumberFormat="1" applyFont="1" applyFill="1" applyBorder="1" applyAlignment="1" applyProtection="1">
      <alignment vertical="center"/>
      <protection/>
    </xf>
    <xf numFmtId="3" fontId="13" fillId="0" borderId="0" xfId="55" applyNumberFormat="1" applyFont="1" applyFill="1">
      <alignment/>
      <protection/>
    </xf>
    <xf numFmtId="0" fontId="7" fillId="0" borderId="0" xfId="55" applyFont="1" applyFill="1">
      <alignment/>
      <protection/>
    </xf>
    <xf numFmtId="3" fontId="7" fillId="0" borderId="0" xfId="55" applyNumberFormat="1" applyFont="1">
      <alignment/>
      <protection/>
    </xf>
    <xf numFmtId="0" fontId="9" fillId="0" borderId="0" xfId="55" applyFont="1" applyFill="1">
      <alignment/>
      <protection/>
    </xf>
    <xf numFmtId="3" fontId="9" fillId="0" borderId="0" xfId="55" applyNumberFormat="1" applyFont="1">
      <alignment/>
      <protection/>
    </xf>
    <xf numFmtId="3" fontId="9" fillId="0" borderId="0" xfId="66" applyNumberFormat="1" applyFont="1" applyFill="1" applyBorder="1" applyAlignment="1" applyProtection="1">
      <alignment vertical="center"/>
      <protection/>
    </xf>
    <xf numFmtId="3" fontId="8" fillId="0" borderId="0" xfId="55" applyNumberFormat="1" applyFont="1" applyFill="1">
      <alignment/>
      <protection/>
    </xf>
    <xf numFmtId="0" fontId="7" fillId="0" borderId="0" xfId="55" applyFont="1" applyFill="1" applyBorder="1" applyAlignment="1">
      <alignment vertical="center"/>
      <protection/>
    </xf>
    <xf numFmtId="0" fontId="7" fillId="0" borderId="0" xfId="55" applyFont="1" applyBorder="1">
      <alignment/>
      <protection/>
    </xf>
    <xf numFmtId="0" fontId="9" fillId="0" borderId="0" xfId="55" applyFont="1" applyAlignment="1">
      <alignment/>
      <protection/>
    </xf>
    <xf numFmtId="0" fontId="15" fillId="0" borderId="0" xfId="55" applyFont="1">
      <alignment/>
      <protection/>
    </xf>
    <xf numFmtId="165" fontId="7" fillId="0" borderId="0" xfId="64" applyNumberFormat="1" applyFont="1" applyAlignment="1">
      <alignment/>
    </xf>
    <xf numFmtId="165" fontId="13" fillId="0" borderId="0" xfId="64" applyNumberFormat="1" applyFont="1" applyBorder="1" applyAlignment="1">
      <alignment/>
    </xf>
    <xf numFmtId="165" fontId="7" fillId="0" borderId="0" xfId="0" applyNumberFormat="1" applyFont="1" applyFill="1" applyBorder="1" applyAlignment="1">
      <alignment horizontal="right"/>
    </xf>
    <xf numFmtId="165" fontId="107" fillId="0" borderId="0" xfId="0" applyNumberFormat="1" applyFont="1" applyAlignment="1">
      <alignment/>
    </xf>
    <xf numFmtId="165" fontId="7" fillId="0" borderId="0" xfId="0" applyNumberFormat="1" applyFont="1" applyBorder="1" applyAlignment="1">
      <alignment horizontal="right"/>
    </xf>
    <xf numFmtId="165" fontId="108" fillId="0" borderId="0" xfId="0" applyNumberFormat="1" applyFont="1" applyAlignment="1">
      <alignment/>
    </xf>
    <xf numFmtId="0" fontId="4" fillId="0" borderId="0" xfId="0" applyFont="1" applyFill="1" applyAlignment="1">
      <alignment vertical="center"/>
    </xf>
    <xf numFmtId="165" fontId="9" fillId="0" borderId="0" xfId="0" applyNumberFormat="1" applyFont="1" applyFill="1" applyBorder="1" applyAlignment="1" applyProtection="1">
      <alignment horizontal="right" vertical="center"/>
      <protection locked="0"/>
    </xf>
    <xf numFmtId="165" fontId="8" fillId="0" borderId="0" xfId="0" applyNumberFormat="1" applyFont="1" applyFill="1" applyBorder="1" applyAlignment="1" applyProtection="1">
      <alignment horizontal="right" vertical="center"/>
      <protection locked="0"/>
    </xf>
    <xf numFmtId="165" fontId="9" fillId="0" borderId="0" xfId="0" applyNumberFormat="1" applyFont="1" applyFill="1" applyAlignment="1" applyProtection="1">
      <alignment vertical="center"/>
      <protection locked="0"/>
    </xf>
    <xf numFmtId="3" fontId="4" fillId="0" borderId="0" xfId="0" applyNumberFormat="1" applyFont="1" applyFill="1" applyBorder="1" applyAlignment="1" applyProtection="1">
      <alignment horizontal="right"/>
      <protection locked="0"/>
    </xf>
    <xf numFmtId="0" fontId="6" fillId="0" borderId="0" xfId="0" applyFont="1" applyFill="1" applyAlignment="1">
      <alignment vertical="center"/>
    </xf>
    <xf numFmtId="0" fontId="48" fillId="0" borderId="0" xfId="55" applyFont="1" applyFill="1" applyAlignment="1">
      <alignment vertical="center"/>
      <protection/>
    </xf>
    <xf numFmtId="0" fontId="45" fillId="0" borderId="0" xfId="55" applyFont="1" applyAlignment="1">
      <alignment vertical="center"/>
      <protection/>
    </xf>
    <xf numFmtId="0" fontId="1" fillId="0" borderId="0" xfId="55" applyAlignment="1">
      <alignment vertical="center"/>
      <protection/>
    </xf>
    <xf numFmtId="0" fontId="45" fillId="0" borderId="0" xfId="55" applyFont="1" applyFill="1" applyAlignment="1">
      <alignment vertical="center"/>
      <protection/>
    </xf>
    <xf numFmtId="0" fontId="4" fillId="0" borderId="0" xfId="55" applyFont="1" applyAlignment="1">
      <alignment horizontal="right" vertical="center" wrapText="1"/>
      <protection/>
    </xf>
    <xf numFmtId="0" fontId="5" fillId="0" borderId="0" xfId="55" applyFont="1" applyAlignment="1">
      <alignment horizontal="right" vertical="center" wrapText="1"/>
      <protection/>
    </xf>
    <xf numFmtId="0" fontId="24" fillId="0" borderId="0" xfId="55" applyFont="1" applyAlignment="1">
      <alignment vertical="center"/>
      <protection/>
    </xf>
    <xf numFmtId="3" fontId="7" fillId="0" borderId="0" xfId="55" applyNumberFormat="1" applyFont="1" applyFill="1" applyBorder="1" applyAlignment="1" applyProtection="1">
      <alignment vertical="center"/>
      <protection locked="0"/>
    </xf>
    <xf numFmtId="3" fontId="7" fillId="0" borderId="0" xfId="55" applyNumberFormat="1" applyFont="1" applyAlignment="1" applyProtection="1">
      <alignment vertical="center"/>
      <protection locked="0"/>
    </xf>
    <xf numFmtId="0" fontId="35" fillId="0" borderId="0" xfId="55" applyFont="1" applyAlignment="1">
      <alignment vertical="center"/>
      <protection/>
    </xf>
    <xf numFmtId="0" fontId="35" fillId="0" borderId="0" xfId="55" applyFont="1" applyAlignment="1">
      <alignment horizontal="right" vertical="center"/>
      <protection/>
    </xf>
    <xf numFmtId="0" fontId="38" fillId="0" borderId="0" xfId="55" applyFont="1" applyAlignment="1">
      <alignment vertical="center"/>
      <protection/>
    </xf>
    <xf numFmtId="0" fontId="36" fillId="0" borderId="0" xfId="55" applyFont="1" applyAlignment="1">
      <alignment horizontal="right" vertical="center"/>
      <protection/>
    </xf>
    <xf numFmtId="0" fontId="4" fillId="0" borderId="0" xfId="55" applyFont="1" applyBorder="1" applyAlignment="1">
      <alignment vertical="center"/>
      <protection/>
    </xf>
    <xf numFmtId="3" fontId="1" fillId="0" borderId="0" xfId="55" applyNumberFormat="1" applyAlignment="1">
      <alignment vertical="center"/>
      <protection/>
    </xf>
    <xf numFmtId="0" fontId="64" fillId="0" borderId="0" xfId="55" applyFont="1" applyAlignment="1">
      <alignment vertical="center"/>
      <protection/>
    </xf>
    <xf numFmtId="0" fontId="64" fillId="0" borderId="0" xfId="55" applyFont="1" applyAlignment="1">
      <alignment horizontal="right" vertical="center"/>
      <protection/>
    </xf>
    <xf numFmtId="3" fontId="65" fillId="0" borderId="0" xfId="55" applyNumberFormat="1" applyFont="1" applyAlignment="1">
      <alignment horizontal="right" vertical="center"/>
      <protection/>
    </xf>
    <xf numFmtId="3" fontId="64" fillId="0" borderId="0" xfId="55" applyNumberFormat="1" applyFont="1" applyAlignment="1">
      <alignment horizontal="right" vertical="center"/>
      <protection/>
    </xf>
    <xf numFmtId="0" fontId="66" fillId="0" borderId="0" xfId="55" applyFont="1" applyAlignment="1">
      <alignment vertical="center"/>
      <protection/>
    </xf>
    <xf numFmtId="0" fontId="66" fillId="0" borderId="0" xfId="55" applyFont="1" applyAlignment="1">
      <alignment horizontal="right" vertical="center"/>
      <protection/>
    </xf>
    <xf numFmtId="0" fontId="28" fillId="0" borderId="0" xfId="55" applyFont="1" applyAlignment="1">
      <alignment vertical="center"/>
      <protection/>
    </xf>
    <xf numFmtId="0" fontId="67" fillId="0" borderId="0" xfId="55" applyFont="1" applyBorder="1" applyAlignment="1">
      <alignment horizontal="right" vertical="center"/>
      <protection/>
    </xf>
    <xf numFmtId="3" fontId="13" fillId="0" borderId="0" xfId="55" applyNumberFormat="1" applyFont="1" applyFill="1" applyBorder="1" applyAlignment="1" applyProtection="1">
      <alignment vertical="center"/>
      <protection/>
    </xf>
    <xf numFmtId="0" fontId="68" fillId="0" borderId="0" xfId="55" applyFont="1" applyAlignment="1">
      <alignment vertical="center"/>
      <protection/>
    </xf>
    <xf numFmtId="0" fontId="68" fillId="0" borderId="0" xfId="55" applyFont="1" applyAlignment="1">
      <alignment horizontal="right" vertical="center"/>
      <protection/>
    </xf>
    <xf numFmtId="3" fontId="68" fillId="0" borderId="0" xfId="55" applyNumberFormat="1" applyFont="1" applyAlignment="1">
      <alignment horizontal="right" vertical="center"/>
      <protection/>
    </xf>
    <xf numFmtId="0" fontId="45" fillId="0" borderId="0" xfId="55" applyFont="1" applyFill="1" applyBorder="1" applyAlignment="1">
      <alignment vertical="center"/>
      <protection/>
    </xf>
    <xf numFmtId="3" fontId="7" fillId="0" borderId="0" xfId="0" applyNumberFormat="1" applyFont="1" applyAlignment="1" applyProtection="1">
      <alignment horizontal="right" vertical="center"/>
      <protection locked="0"/>
    </xf>
    <xf numFmtId="3" fontId="13" fillId="0" borderId="0" xfId="55" applyNumberFormat="1" applyFont="1" applyFill="1" applyAlignment="1">
      <alignment horizontal="right" vertical="center"/>
      <protection/>
    </xf>
    <xf numFmtId="3" fontId="7" fillId="0" borderId="0" xfId="55" applyNumberFormat="1" applyFont="1" applyFill="1" applyBorder="1" applyAlignment="1" applyProtection="1">
      <alignment horizontal="right" vertical="center" wrapText="1"/>
      <protection/>
    </xf>
    <xf numFmtId="3" fontId="7" fillId="0" borderId="0" xfId="55" applyNumberFormat="1" applyFont="1" applyAlignment="1">
      <alignment horizontal="right" vertical="center"/>
      <protection/>
    </xf>
    <xf numFmtId="3" fontId="9" fillId="0" borderId="0" xfId="55" applyNumberFormat="1" applyFont="1" applyAlignment="1">
      <alignment horizontal="right" vertical="center"/>
      <protection/>
    </xf>
    <xf numFmtId="3" fontId="9" fillId="0" borderId="0" xfId="55" applyNumberFormat="1" applyFont="1" applyFill="1" applyBorder="1" applyAlignment="1" applyProtection="1">
      <alignment horizontal="right" vertical="center" wrapText="1"/>
      <protection/>
    </xf>
    <xf numFmtId="3" fontId="8" fillId="0" borderId="0" xfId="55" applyNumberFormat="1" applyFont="1" applyFill="1" applyBorder="1" applyAlignment="1" applyProtection="1">
      <alignment horizontal="right" vertical="center" wrapText="1"/>
      <protection/>
    </xf>
    <xf numFmtId="169" fontId="8" fillId="0" borderId="0" xfId="0" applyNumberFormat="1" applyFont="1" applyFill="1" applyAlignment="1">
      <alignment/>
    </xf>
    <xf numFmtId="3" fontId="7" fillId="0" borderId="0" xfId="0" applyNumberFormat="1" applyFont="1" applyAlignment="1" applyProtection="1">
      <alignment vertical="top"/>
      <protection locked="0"/>
    </xf>
    <xf numFmtId="3" fontId="13" fillId="0" borderId="0" xfId="0" applyNumberFormat="1" applyFont="1" applyBorder="1" applyAlignment="1">
      <alignment/>
    </xf>
    <xf numFmtId="3" fontId="4" fillId="0" borderId="0" xfId="59" applyNumberFormat="1" applyFont="1" applyFill="1" applyBorder="1" applyAlignment="1" applyProtection="1">
      <alignment horizontal="right" vertical="center"/>
      <protection locked="0"/>
    </xf>
    <xf numFmtId="9" fontId="9" fillId="0" borderId="0" xfId="0" applyNumberFormat="1" applyFont="1" applyFill="1" applyAlignment="1">
      <alignment horizontal="right" vertical="center"/>
    </xf>
    <xf numFmtId="0" fontId="107" fillId="0" borderId="0" xfId="0" applyFont="1" applyFill="1" applyAlignment="1">
      <alignment/>
    </xf>
    <xf numFmtId="168" fontId="7" fillId="0" borderId="0" xfId="0" applyNumberFormat="1" applyFont="1" applyFill="1" applyBorder="1" applyAlignment="1">
      <alignment/>
    </xf>
    <xf numFmtId="168" fontId="7" fillId="0" borderId="0" xfId="0" applyNumberFormat="1" applyFont="1" applyFill="1" applyAlignment="1">
      <alignment horizontal="right"/>
    </xf>
    <xf numFmtId="168" fontId="13" fillId="0" borderId="0" xfId="0" applyNumberFormat="1" applyFont="1" applyFill="1" applyBorder="1" applyAlignment="1">
      <alignment/>
    </xf>
    <xf numFmtId="168" fontId="9" fillId="0" borderId="0" xfId="0" applyNumberFormat="1" applyFont="1" applyFill="1" applyBorder="1" applyAlignment="1">
      <alignment/>
    </xf>
    <xf numFmtId="168" fontId="8" fillId="0" borderId="0" xfId="0" applyNumberFormat="1" applyFont="1" applyFill="1" applyBorder="1" applyAlignment="1">
      <alignment/>
    </xf>
    <xf numFmtId="168" fontId="7" fillId="0" borderId="0" xfId="0" applyNumberFormat="1" applyFont="1" applyFill="1" applyAlignment="1">
      <alignment/>
    </xf>
    <xf numFmtId="0" fontId="109" fillId="0" borderId="0" xfId="0" applyFont="1" applyFill="1" applyAlignment="1">
      <alignment/>
    </xf>
    <xf numFmtId="168" fontId="8" fillId="0" borderId="0" xfId="0" applyNumberFormat="1" applyFont="1" applyFill="1" applyBorder="1" applyAlignment="1">
      <alignment horizontal="right"/>
    </xf>
    <xf numFmtId="169" fontId="8" fillId="0" borderId="0" xfId="0" applyNumberFormat="1" applyFont="1" applyFill="1" applyBorder="1" applyAlignment="1">
      <alignment horizontal="right"/>
    </xf>
    <xf numFmtId="3" fontId="7" fillId="0" borderId="0" xfId="0" applyNumberFormat="1" applyFont="1" applyAlignment="1" applyProtection="1">
      <alignment horizontal="right" vertical="justify"/>
      <protection locked="0"/>
    </xf>
    <xf numFmtId="169" fontId="7" fillId="0" borderId="0" xfId="0" applyNumberFormat="1" applyFont="1" applyAlignment="1" applyProtection="1">
      <alignment/>
      <protection locked="0"/>
    </xf>
    <xf numFmtId="169" fontId="7" fillId="0" borderId="0" xfId="0" applyNumberFormat="1" applyFont="1" applyAlignment="1" applyProtection="1">
      <alignment vertical="center"/>
      <protection locked="0"/>
    </xf>
    <xf numFmtId="165" fontId="5" fillId="0" borderId="0" xfId="0" applyNumberFormat="1" applyFont="1" applyAlignment="1">
      <alignment vertical="center"/>
    </xf>
    <xf numFmtId="165" fontId="8" fillId="0" borderId="0" xfId="0" applyNumberFormat="1" applyFont="1" applyBorder="1" applyAlignment="1">
      <alignment horizontal="right" vertical="center"/>
    </xf>
    <xf numFmtId="0" fontId="110" fillId="0" borderId="0" xfId="0" applyFont="1" applyAlignment="1">
      <alignment vertical="center"/>
    </xf>
    <xf numFmtId="0" fontId="109" fillId="0" borderId="0" xfId="0" applyFont="1" applyFill="1" applyAlignment="1">
      <alignment vertical="center"/>
    </xf>
    <xf numFmtId="165" fontId="109" fillId="0" borderId="0" xfId="0" applyNumberFormat="1" applyFont="1" applyFill="1" applyAlignment="1">
      <alignment horizontal="left"/>
    </xf>
    <xf numFmtId="3" fontId="7" fillId="0" borderId="0" xfId="47" applyNumberFormat="1" applyFont="1" applyFill="1" applyBorder="1" applyAlignment="1" applyProtection="1">
      <alignment vertical="center"/>
      <protection locked="0"/>
    </xf>
    <xf numFmtId="168" fontId="8" fillId="0" borderId="0" xfId="0" applyNumberFormat="1" applyFont="1" applyAlignment="1">
      <alignment/>
    </xf>
    <xf numFmtId="169" fontId="62" fillId="0" borderId="0" xfId="0" applyNumberFormat="1" applyFont="1" applyAlignment="1">
      <alignment/>
    </xf>
    <xf numFmtId="185" fontId="13" fillId="0" borderId="0" xfId="0" applyNumberFormat="1" applyFont="1" applyFill="1" applyBorder="1" applyAlignment="1" quotePrefix="1">
      <alignment horizontal="right" vertical="center"/>
    </xf>
    <xf numFmtId="185" fontId="7" fillId="0" borderId="0" xfId="0" applyNumberFormat="1" applyFont="1" applyFill="1" applyBorder="1" applyAlignment="1" quotePrefix="1">
      <alignment horizontal="right" vertical="center"/>
    </xf>
    <xf numFmtId="3" fontId="15" fillId="0" borderId="0" xfId="0" applyNumberFormat="1" applyFont="1" applyFill="1" applyAlignment="1">
      <alignment vertical="center" wrapText="1"/>
    </xf>
    <xf numFmtId="3" fontId="15" fillId="0" borderId="0" xfId="0" applyNumberFormat="1" applyFont="1" applyFill="1" applyAlignment="1">
      <alignment vertical="center"/>
    </xf>
    <xf numFmtId="3" fontId="7" fillId="0" borderId="0" xfId="0" applyNumberFormat="1" applyFont="1" applyFill="1" applyBorder="1" applyAlignment="1" applyProtection="1">
      <alignment horizontal="right" vertical="center" wrapText="1"/>
      <protection/>
    </xf>
    <xf numFmtId="3" fontId="7" fillId="0" borderId="0" xfId="0" applyNumberFormat="1" applyFont="1" applyAlignment="1">
      <alignment horizontal="right" vertical="center"/>
    </xf>
    <xf numFmtId="49" fontId="109" fillId="0" borderId="0" xfId="0" applyNumberFormat="1" applyFont="1" applyFill="1" applyAlignment="1">
      <alignment/>
    </xf>
    <xf numFmtId="0" fontId="111" fillId="0" borderId="0" xfId="0" applyFont="1" applyAlignment="1">
      <alignment/>
    </xf>
    <xf numFmtId="3" fontId="111" fillId="0" borderId="0" xfId="47" applyNumberFormat="1" applyFont="1" applyFill="1" applyBorder="1" applyAlignment="1" applyProtection="1">
      <alignment horizontal="right" vertical="center" wrapText="1"/>
      <protection locked="0"/>
    </xf>
    <xf numFmtId="3" fontId="112" fillId="0" borderId="0" xfId="0" applyNumberFormat="1" applyFont="1" applyFill="1" applyBorder="1" applyAlignment="1" applyProtection="1">
      <alignment horizontal="right" vertical="center"/>
      <protection/>
    </xf>
    <xf numFmtId="3" fontId="111" fillId="0" borderId="0" xfId="0" applyNumberFormat="1" applyFont="1" applyAlignment="1" applyProtection="1">
      <alignment vertical="center"/>
      <protection locked="0"/>
    </xf>
    <xf numFmtId="168" fontId="7" fillId="0" borderId="0" xfId="0" applyNumberFormat="1" applyFont="1" applyFill="1" applyBorder="1" applyAlignment="1" applyProtection="1">
      <alignment horizontal="right" vertical="center" wrapText="1"/>
      <protection locked="0"/>
    </xf>
    <xf numFmtId="168" fontId="5" fillId="0" borderId="0" xfId="0" applyNumberFormat="1" applyFont="1" applyFill="1" applyBorder="1" applyAlignment="1" applyProtection="1">
      <alignment vertical="center"/>
      <protection/>
    </xf>
    <xf numFmtId="168" fontId="7" fillId="0" borderId="0" xfId="0" applyNumberFormat="1" applyFont="1" applyAlignment="1" applyProtection="1">
      <alignment vertical="center"/>
      <protection locked="0"/>
    </xf>
    <xf numFmtId="168" fontId="7" fillId="0" borderId="0" xfId="0" applyNumberFormat="1" applyFont="1" applyFill="1" applyBorder="1" applyAlignment="1" applyProtection="1">
      <alignment vertical="center" wrapText="1"/>
      <protection locked="0"/>
    </xf>
    <xf numFmtId="3" fontId="113" fillId="0" borderId="0" xfId="0" applyNumberFormat="1" applyFont="1" applyFill="1" applyAlignment="1">
      <alignment vertical="center"/>
    </xf>
    <xf numFmtId="3" fontId="114" fillId="0" borderId="0" xfId="0" applyNumberFormat="1" applyFont="1" applyAlignment="1">
      <alignment/>
    </xf>
    <xf numFmtId="168" fontId="7" fillId="0" borderId="0" xfId="0" applyNumberFormat="1" applyFont="1" applyFill="1" applyAlignment="1" quotePrefix="1">
      <alignment horizontal="right"/>
    </xf>
    <xf numFmtId="168" fontId="13" fillId="0" borderId="0" xfId="0" applyNumberFormat="1" applyFont="1" applyFill="1" applyAlignment="1" quotePrefix="1">
      <alignment horizontal="right"/>
    </xf>
    <xf numFmtId="0" fontId="109" fillId="0" borderId="0" xfId="0" applyFont="1" applyAlignment="1">
      <alignment/>
    </xf>
    <xf numFmtId="3" fontId="7" fillId="0" borderId="0" xfId="47" applyNumberFormat="1" applyFont="1" applyBorder="1" applyAlignment="1" applyProtection="1">
      <alignment vertical="center"/>
      <protection/>
    </xf>
    <xf numFmtId="3" fontId="13" fillId="0" borderId="0" xfId="47" applyNumberFormat="1" applyFont="1" applyBorder="1" applyAlignment="1" applyProtection="1">
      <alignment horizontal="right" vertical="center"/>
      <protection/>
    </xf>
    <xf numFmtId="3" fontId="9" fillId="0" borderId="0" xfId="0" applyNumberFormat="1" applyFont="1" applyFill="1" applyAlignment="1" applyProtection="1">
      <alignment/>
      <protection locked="0"/>
    </xf>
    <xf numFmtId="3" fontId="8" fillId="0" borderId="0" xfId="0" applyNumberFormat="1" applyFont="1" applyBorder="1" applyAlignment="1" quotePrefix="1">
      <alignment/>
    </xf>
    <xf numFmtId="168" fontId="13" fillId="0" borderId="0" xfId="0" applyNumberFormat="1" applyFont="1" applyAlignment="1">
      <alignment horizontal="right"/>
    </xf>
    <xf numFmtId="3" fontId="9" fillId="0" borderId="0" xfId="0" applyNumberFormat="1" applyFont="1" applyBorder="1" applyAlignment="1" quotePrefix="1">
      <alignment horizontal="right"/>
    </xf>
    <xf numFmtId="3" fontId="8" fillId="0" borderId="0" xfId="0" applyNumberFormat="1" applyFont="1" applyBorder="1" applyAlignment="1" quotePrefix="1">
      <alignment horizontal="right"/>
    </xf>
    <xf numFmtId="168" fontId="8" fillId="0" borderId="0" xfId="0" applyNumberFormat="1" applyFont="1" applyAlignment="1">
      <alignment horizontal="right"/>
    </xf>
    <xf numFmtId="0" fontId="7" fillId="0" borderId="0" xfId="0" applyFont="1" applyAlignment="1">
      <alignment horizontal="center"/>
    </xf>
    <xf numFmtId="0" fontId="7" fillId="0" borderId="0" xfId="0" applyFont="1" applyAlignment="1">
      <alignment/>
    </xf>
    <xf numFmtId="0" fontId="113" fillId="0" borderId="0" xfId="0" applyFont="1" applyFill="1" applyAlignment="1">
      <alignment horizontal="left"/>
    </xf>
    <xf numFmtId="168" fontId="7" fillId="0" borderId="0" xfId="0" applyNumberFormat="1" applyFont="1" applyFill="1" applyAlignment="1">
      <alignment vertical="center"/>
    </xf>
    <xf numFmtId="168" fontId="13" fillId="0" borderId="0" xfId="0" applyNumberFormat="1" applyFont="1" applyFill="1" applyBorder="1" applyAlignment="1" applyProtection="1">
      <alignment horizontal="right" vertical="center"/>
      <protection/>
    </xf>
    <xf numFmtId="0" fontId="113" fillId="0" borderId="0" xfId="0" applyFont="1" applyFill="1" applyAlignment="1">
      <alignment vertical="center"/>
    </xf>
    <xf numFmtId="0" fontId="115" fillId="0" borderId="0" xfId="0" applyFont="1" applyAlignment="1">
      <alignment horizontal="left"/>
    </xf>
    <xf numFmtId="168" fontId="7" fillId="0" borderId="0" xfId="47" applyNumberFormat="1" applyFont="1" applyFill="1" applyBorder="1" applyAlignment="1" applyProtection="1">
      <alignment horizontal="right" vertical="top" wrapText="1"/>
      <protection locked="0"/>
    </xf>
    <xf numFmtId="168" fontId="5" fillId="0" borderId="0" xfId="0" applyNumberFormat="1" applyFont="1" applyFill="1" applyBorder="1" applyAlignment="1" applyProtection="1">
      <alignment horizontal="right" vertical="top"/>
      <protection locked="0"/>
    </xf>
    <xf numFmtId="168" fontId="7" fillId="0" borderId="0" xfId="0" applyNumberFormat="1" applyFont="1" applyAlignment="1" applyProtection="1">
      <alignment/>
      <protection/>
    </xf>
    <xf numFmtId="168" fontId="13" fillId="0" borderId="0" xfId="0" applyNumberFormat="1" applyFont="1" applyFill="1" applyBorder="1" applyAlignment="1">
      <alignment vertical="center"/>
    </xf>
    <xf numFmtId="168" fontId="7" fillId="0" borderId="0" xfId="0" applyNumberFormat="1" applyFont="1" applyFill="1" applyBorder="1" applyAlignment="1">
      <alignment/>
    </xf>
    <xf numFmtId="168" fontId="13" fillId="0" borderId="0" xfId="0" applyNumberFormat="1" applyFont="1" applyFill="1" applyBorder="1" applyAlignment="1">
      <alignment/>
    </xf>
    <xf numFmtId="0" fontId="9" fillId="0" borderId="0" xfId="0" applyFont="1" applyFill="1" applyBorder="1" applyAlignment="1">
      <alignment/>
    </xf>
    <xf numFmtId="0" fontId="69" fillId="0" borderId="0" xfId="0" applyFont="1" applyFill="1" applyAlignment="1">
      <alignment/>
    </xf>
    <xf numFmtId="169" fontId="9" fillId="0" borderId="0" xfId="0" applyNumberFormat="1" applyFont="1" applyFill="1" applyAlignment="1">
      <alignment vertical="center"/>
    </xf>
    <xf numFmtId="169" fontId="8" fillId="0" borderId="0" xfId="0" applyNumberFormat="1" applyFont="1" applyFill="1" applyAlignment="1">
      <alignment vertical="center"/>
    </xf>
    <xf numFmtId="169" fontId="9" fillId="0" borderId="0" xfId="47" applyNumberFormat="1" applyFont="1" applyFill="1" applyBorder="1" applyAlignment="1">
      <alignment vertical="center"/>
    </xf>
    <xf numFmtId="0" fontId="0" fillId="33" borderId="0" xfId="0" applyFill="1" applyAlignment="1">
      <alignment/>
    </xf>
    <xf numFmtId="0" fontId="116" fillId="0" borderId="0" xfId="0" applyFont="1" applyAlignment="1">
      <alignment vertical="center"/>
    </xf>
    <xf numFmtId="3" fontId="7" fillId="0" borderId="0" xfId="59" applyNumberFormat="1" applyFont="1" applyFill="1" applyBorder="1" applyAlignment="1" applyProtection="1">
      <alignment horizontal="right" vertical="center" wrapText="1"/>
      <protection locked="0"/>
    </xf>
    <xf numFmtId="3" fontId="13" fillId="0" borderId="0" xfId="59" applyNumberFormat="1" applyFont="1" applyFill="1" applyBorder="1" applyAlignment="1" applyProtection="1">
      <alignment horizontal="right" vertical="center" wrapText="1"/>
      <protection locked="0"/>
    </xf>
    <xf numFmtId="169" fontId="7" fillId="0" borderId="0" xfId="59" applyNumberFormat="1" applyFont="1" applyFill="1" applyBorder="1" applyAlignment="1" applyProtection="1">
      <alignment horizontal="right" vertical="center" wrapText="1"/>
      <protection locked="0"/>
    </xf>
    <xf numFmtId="169" fontId="5" fillId="0" borderId="0" xfId="0" applyNumberFormat="1" applyFont="1" applyFill="1" applyBorder="1" applyAlignment="1" applyProtection="1">
      <alignment vertical="center"/>
      <protection/>
    </xf>
    <xf numFmtId="0" fontId="117" fillId="0" borderId="0" xfId="0" applyFont="1" applyAlignment="1">
      <alignment/>
    </xf>
    <xf numFmtId="169" fontId="14" fillId="0" borderId="0" xfId="0" applyNumberFormat="1" applyFont="1" applyFill="1" applyBorder="1" applyAlignment="1">
      <alignment horizontal="right" vertical="center"/>
    </xf>
    <xf numFmtId="169" fontId="8" fillId="0" borderId="0" xfId="0" applyNumberFormat="1" applyFont="1" applyFill="1" applyAlignment="1">
      <alignment horizontal="right"/>
    </xf>
    <xf numFmtId="3" fontId="8" fillId="0" borderId="0" xfId="55" applyNumberFormat="1" applyFont="1" applyFill="1" applyBorder="1" applyAlignment="1" applyProtection="1">
      <alignment vertical="center"/>
      <protection/>
    </xf>
    <xf numFmtId="0" fontId="1" fillId="0" borderId="0" xfId="55" applyFill="1" applyAlignment="1">
      <alignment vertical="center"/>
      <protection/>
    </xf>
    <xf numFmtId="0" fontId="118" fillId="0" borderId="0" xfId="0" applyFont="1" applyFill="1" applyAlignment="1">
      <alignment/>
    </xf>
    <xf numFmtId="3" fontId="107" fillId="0" borderId="0" xfId="0" applyNumberFormat="1" applyFont="1" applyAlignment="1">
      <alignment/>
    </xf>
    <xf numFmtId="3" fontId="107" fillId="0" borderId="0" xfId="0" applyNumberFormat="1" applyFont="1" applyFill="1" applyAlignment="1">
      <alignment/>
    </xf>
    <xf numFmtId="0" fontId="10" fillId="34" borderId="0" xfId="0" applyFont="1" applyFill="1" applyAlignment="1">
      <alignment horizontal="center" vertical="center"/>
    </xf>
    <xf numFmtId="0" fontId="119" fillId="0" borderId="0" xfId="0" applyFont="1" applyAlignment="1">
      <alignment horizontal="center"/>
    </xf>
    <xf numFmtId="0" fontId="119" fillId="0" borderId="0" xfId="0" applyFont="1" applyAlignment="1">
      <alignment/>
    </xf>
    <xf numFmtId="0" fontId="120" fillId="0" borderId="0" xfId="0" applyFont="1" applyAlignment="1">
      <alignment horizontal="center"/>
    </xf>
    <xf numFmtId="0" fontId="121" fillId="0" borderId="0" xfId="0" applyFont="1" applyAlignment="1">
      <alignment horizontal="center"/>
    </xf>
    <xf numFmtId="0" fontId="70" fillId="0" borderId="0" xfId="0" applyFont="1" applyAlignment="1">
      <alignment horizontal="center"/>
    </xf>
    <xf numFmtId="0" fontId="25" fillId="0" borderId="0" xfId="0" applyFont="1" applyAlignment="1">
      <alignment horizontal="center"/>
    </xf>
    <xf numFmtId="0" fontId="8" fillId="0" borderId="0" xfId="0" applyFont="1" applyFill="1" applyBorder="1" applyAlignment="1">
      <alignment vertical="center"/>
    </xf>
    <xf numFmtId="165" fontId="8" fillId="0" borderId="0" xfId="49" applyNumberFormat="1" applyFont="1" applyFill="1" applyBorder="1" applyAlignment="1">
      <alignment horizontal="right" vertical="center"/>
    </xf>
    <xf numFmtId="3" fontId="5" fillId="0" borderId="0" xfId="58" applyNumberFormat="1" applyFont="1" applyFill="1" applyBorder="1" applyAlignment="1" applyProtection="1">
      <alignment horizontal="right" wrapText="1"/>
      <protection locked="0"/>
    </xf>
    <xf numFmtId="3" fontId="13" fillId="0" borderId="0" xfId="58" applyNumberFormat="1" applyFont="1" applyFill="1" applyBorder="1" applyAlignment="1" applyProtection="1">
      <alignment horizontal="right"/>
      <protection locked="0"/>
    </xf>
    <xf numFmtId="3" fontId="5" fillId="0" borderId="0" xfId="58" applyNumberFormat="1" applyFont="1" applyFill="1" applyBorder="1" applyAlignment="1" applyProtection="1">
      <alignment horizontal="right"/>
      <protection locked="0"/>
    </xf>
    <xf numFmtId="3" fontId="5" fillId="0" borderId="0" xfId="58" applyNumberFormat="1" applyFont="1" applyFill="1" applyBorder="1" applyAlignment="1" applyProtection="1">
      <alignment horizontal="right" vertical="center" wrapText="1"/>
      <protection locked="0"/>
    </xf>
    <xf numFmtId="0" fontId="105" fillId="0" borderId="0" xfId="0" applyFont="1" applyAlignment="1">
      <alignment vertical="center"/>
    </xf>
    <xf numFmtId="3" fontId="105" fillId="0" borderId="0" xfId="0" applyNumberFormat="1" applyFont="1" applyAlignment="1">
      <alignment vertical="center"/>
    </xf>
    <xf numFmtId="165" fontId="13" fillId="0" borderId="10" xfId="0" applyNumberFormat="1" applyFont="1" applyFill="1" applyBorder="1" applyAlignment="1">
      <alignment horizontal="right" vertical="center"/>
    </xf>
    <xf numFmtId="165" fontId="9" fillId="0" borderId="0" xfId="0" applyNumberFormat="1" applyFont="1" applyAlignment="1">
      <alignment/>
    </xf>
    <xf numFmtId="165" fontId="8" fillId="0" borderId="0" xfId="0" applyNumberFormat="1" applyFont="1" applyAlignment="1">
      <alignment/>
    </xf>
    <xf numFmtId="165" fontId="8" fillId="0" borderId="0" xfId="0" applyNumberFormat="1" applyFont="1" applyBorder="1" applyAlignment="1">
      <alignment/>
    </xf>
    <xf numFmtId="168" fontId="8" fillId="0" borderId="0" xfId="0" applyNumberFormat="1" applyFont="1" applyBorder="1" applyAlignment="1">
      <alignment/>
    </xf>
    <xf numFmtId="169" fontId="7" fillId="0" borderId="0" xfId="0" applyNumberFormat="1" applyFont="1" applyAlignment="1">
      <alignment/>
    </xf>
    <xf numFmtId="169" fontId="6" fillId="0" borderId="0" xfId="0" applyNumberFormat="1" applyFont="1" applyFill="1" applyAlignment="1">
      <alignment horizontal="right" vertical="center"/>
    </xf>
    <xf numFmtId="0" fontId="10" fillId="34" borderId="0" xfId="0" applyFont="1" applyFill="1" applyAlignment="1">
      <alignment horizontal="center" vertical="center"/>
    </xf>
    <xf numFmtId="0" fontId="16" fillId="0" borderId="11" xfId="0" applyFont="1" applyFill="1" applyBorder="1" applyAlignment="1">
      <alignment horizontal="center" vertical="top"/>
    </xf>
    <xf numFmtId="0" fontId="17"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6" fillId="0" borderId="0" xfId="0" applyFont="1" applyAlignment="1">
      <alignment horizontal="center" vertical="center"/>
    </xf>
    <xf numFmtId="0" fontId="10" fillId="34" borderId="0" xfId="0" applyFont="1" applyFill="1" applyAlignment="1">
      <alignment vertical="center"/>
    </xf>
    <xf numFmtId="0" fontId="7" fillId="35" borderId="0" xfId="0" applyFont="1" applyFill="1" applyBorder="1" applyAlignment="1">
      <alignment vertical="center"/>
    </xf>
    <xf numFmtId="3" fontId="4" fillId="35" borderId="0" xfId="0" applyNumberFormat="1" applyFont="1" applyFill="1" applyBorder="1" applyAlignment="1" applyProtection="1">
      <alignment vertical="top"/>
      <protection locked="0"/>
    </xf>
    <xf numFmtId="3" fontId="5" fillId="35" borderId="0" xfId="0" applyNumberFormat="1" applyFont="1" applyFill="1" applyBorder="1" applyAlignment="1" applyProtection="1">
      <alignment vertical="top"/>
      <protection/>
    </xf>
    <xf numFmtId="3" fontId="7" fillId="35" borderId="0" xfId="0" applyNumberFormat="1" applyFont="1" applyFill="1" applyAlignment="1" applyProtection="1">
      <alignment horizontal="right" vertical="justify"/>
      <protection locked="0"/>
    </xf>
    <xf numFmtId="0" fontId="7" fillId="35" borderId="0" xfId="0" applyFont="1" applyFill="1" applyBorder="1" applyAlignment="1">
      <alignment horizontal="left" vertical="center"/>
    </xf>
    <xf numFmtId="3" fontId="4" fillId="35" borderId="0" xfId="0" applyNumberFormat="1" applyFont="1" applyFill="1" applyBorder="1" applyAlignment="1" applyProtection="1" quotePrefix="1">
      <alignment horizontal="right"/>
      <protection locked="0"/>
    </xf>
    <xf numFmtId="3" fontId="5" fillId="35" borderId="0" xfId="0" applyNumberFormat="1" applyFont="1" applyFill="1" applyBorder="1" applyAlignment="1" applyProtection="1">
      <alignment horizontal="right"/>
      <protection/>
    </xf>
    <xf numFmtId="3" fontId="7" fillId="35" borderId="0" xfId="0" applyNumberFormat="1" applyFont="1" applyFill="1" applyAlignment="1" applyProtection="1">
      <alignment horizontal="right"/>
      <protection locked="0"/>
    </xf>
    <xf numFmtId="0" fontId="13" fillId="35" borderId="0" xfId="0" applyFont="1" applyFill="1" applyBorder="1" applyAlignment="1">
      <alignment horizontal="left" vertical="center"/>
    </xf>
    <xf numFmtId="3" fontId="4" fillId="35" borderId="0" xfId="0" applyNumberFormat="1" applyFont="1" applyFill="1" applyAlignment="1">
      <alignment vertical="center"/>
    </xf>
    <xf numFmtId="3" fontId="13" fillId="35" borderId="0" xfId="0" applyNumberFormat="1" applyFont="1" applyFill="1" applyBorder="1" applyAlignment="1">
      <alignment vertical="center"/>
    </xf>
    <xf numFmtId="3" fontId="4" fillId="35" borderId="0" xfId="0" applyNumberFormat="1" applyFont="1" applyFill="1" applyAlignment="1">
      <alignment/>
    </xf>
    <xf numFmtId="0" fontId="4" fillId="0" borderId="14" xfId="0" applyFont="1" applyBorder="1" applyAlignment="1">
      <alignment vertical="center"/>
    </xf>
    <xf numFmtId="0" fontId="9" fillId="0" borderId="14" xfId="0" applyFont="1" applyBorder="1" applyAlignment="1">
      <alignment horizontal="center" vertical="center" wrapText="1"/>
    </xf>
    <xf numFmtId="0" fontId="8" fillId="0" borderId="14" xfId="0" applyFont="1" applyFill="1" applyBorder="1" applyAlignment="1">
      <alignment horizontal="center" vertical="center" wrapText="1"/>
    </xf>
    <xf numFmtId="0" fontId="8" fillId="35" borderId="0" xfId="0" applyFont="1" applyFill="1" applyAlignment="1">
      <alignment horizontal="left" vertical="center"/>
    </xf>
    <xf numFmtId="165" fontId="8" fillId="35" borderId="0" xfId="0" applyNumberFormat="1" applyFont="1" applyFill="1" applyBorder="1" applyAlignment="1">
      <alignment horizontal="right" vertical="center"/>
    </xf>
    <xf numFmtId="165" fontId="8" fillId="35" borderId="0" xfId="0" applyNumberFormat="1" applyFont="1" applyFill="1" applyAlignment="1">
      <alignment horizontal="right" vertical="center"/>
    </xf>
    <xf numFmtId="0" fontId="8" fillId="35" borderId="0" xfId="0" applyFont="1" applyFill="1" applyBorder="1" applyAlignment="1">
      <alignment horizontal="left" vertical="center"/>
    </xf>
    <xf numFmtId="169" fontId="14" fillId="35" borderId="0" xfId="0" applyNumberFormat="1" applyFont="1" applyFill="1" applyBorder="1" applyAlignment="1" applyProtection="1">
      <alignment horizontal="right" vertical="center"/>
      <protection locked="0"/>
    </xf>
    <xf numFmtId="169" fontId="8" fillId="35" borderId="0" xfId="0" applyNumberFormat="1" applyFont="1" applyFill="1" applyAlignment="1" applyProtection="1">
      <alignment vertical="center"/>
      <protection/>
    </xf>
    <xf numFmtId="0" fontId="13" fillId="35" borderId="0" xfId="63" applyFont="1" applyFill="1" applyBorder="1" applyAlignment="1">
      <alignment horizontal="left" vertical="center"/>
      <protection/>
    </xf>
    <xf numFmtId="165" fontId="13" fillId="35" borderId="0" xfId="0" applyNumberFormat="1" applyFont="1" applyFill="1" applyAlignment="1">
      <alignment/>
    </xf>
    <xf numFmtId="0" fontId="7" fillId="0" borderId="14" xfId="0" applyFont="1" applyBorder="1" applyAlignment="1">
      <alignment horizontal="left" vertical="center"/>
    </xf>
    <xf numFmtId="165" fontId="7" fillId="0" borderId="14" xfId="0" applyNumberFormat="1" applyFont="1" applyBorder="1" applyAlignment="1">
      <alignment horizontal="center" vertical="center"/>
    </xf>
    <xf numFmtId="165" fontId="13" fillId="0" borderId="14" xfId="0" applyNumberFormat="1" applyFont="1" applyBorder="1" applyAlignment="1">
      <alignment horizontal="center" vertical="center"/>
    </xf>
    <xf numFmtId="3" fontId="5" fillId="35" borderId="0" xfId="0" applyNumberFormat="1" applyFont="1" applyFill="1" applyBorder="1" applyAlignment="1" applyProtection="1">
      <alignment vertical="center"/>
      <protection locked="0"/>
    </xf>
    <xf numFmtId="3" fontId="5" fillId="35" borderId="0" xfId="0" applyNumberFormat="1" applyFont="1" applyFill="1" applyBorder="1" applyAlignment="1" applyProtection="1">
      <alignment vertical="center"/>
      <protection/>
    </xf>
    <xf numFmtId="3" fontId="13" fillId="35" borderId="0" xfId="0" applyNumberFormat="1" applyFont="1" applyFill="1" applyAlignment="1" applyProtection="1">
      <alignment vertical="center"/>
      <protection locked="0"/>
    </xf>
    <xf numFmtId="0" fontId="7" fillId="0" borderId="14" xfId="0" applyFont="1" applyBorder="1" applyAlignment="1">
      <alignment vertical="center"/>
    </xf>
    <xf numFmtId="0" fontId="13" fillId="0" borderId="14" xfId="0" applyFont="1" applyBorder="1" applyAlignment="1">
      <alignment vertical="center"/>
    </xf>
    <xf numFmtId="0" fontId="13" fillId="35" borderId="0" xfId="0" applyFont="1" applyFill="1" applyBorder="1" applyAlignment="1">
      <alignment vertical="center"/>
    </xf>
    <xf numFmtId="168" fontId="13" fillId="35" borderId="0" xfId="64" applyNumberFormat="1" applyFont="1" applyFill="1" applyBorder="1" applyAlignment="1">
      <alignment horizontal="right" vertical="center"/>
    </xf>
    <xf numFmtId="3" fontId="7" fillId="35" borderId="0" xfId="64" applyNumberFormat="1" applyFont="1" applyFill="1" applyBorder="1" applyAlignment="1">
      <alignment horizontal="right" vertical="center"/>
    </xf>
    <xf numFmtId="3" fontId="13" fillId="35" borderId="0" xfId="64" applyNumberFormat="1" applyFont="1" applyFill="1" applyBorder="1" applyAlignment="1">
      <alignment horizontal="right" vertical="center"/>
    </xf>
    <xf numFmtId="0" fontId="13" fillId="35" borderId="0" xfId="0" applyFont="1" applyFill="1" applyAlignment="1">
      <alignment/>
    </xf>
    <xf numFmtId="3" fontId="13" fillId="35" borderId="0" xfId="0" applyNumberFormat="1" applyFont="1" applyFill="1" applyAlignment="1">
      <alignment/>
    </xf>
    <xf numFmtId="49" fontId="13" fillId="35" borderId="0" xfId="0" applyNumberFormat="1" applyFont="1" applyFill="1" applyAlignment="1">
      <alignment/>
    </xf>
    <xf numFmtId="3" fontId="13" fillId="35" borderId="0" xfId="0" applyNumberFormat="1" applyFont="1" applyFill="1" applyBorder="1" applyAlignment="1">
      <alignment/>
    </xf>
    <xf numFmtId="0" fontId="13" fillId="35" borderId="0" xfId="0" applyFont="1" applyFill="1" applyBorder="1" applyAlignment="1">
      <alignment/>
    </xf>
    <xf numFmtId="49" fontId="13" fillId="35" borderId="0" xfId="0" applyNumberFormat="1" applyFont="1" applyFill="1" applyBorder="1" applyAlignment="1">
      <alignment/>
    </xf>
    <xf numFmtId="0" fontId="13" fillId="35" borderId="0" xfId="0" applyFont="1" applyFill="1" applyBorder="1" applyAlignment="1">
      <alignment/>
    </xf>
    <xf numFmtId="0" fontId="7" fillId="0" borderId="14" xfId="0" applyFont="1" applyBorder="1" applyAlignment="1">
      <alignment/>
    </xf>
    <xf numFmtId="165" fontId="7" fillId="0" borderId="14" xfId="0" applyNumberFormat="1" applyFont="1" applyBorder="1" applyAlignment="1">
      <alignment/>
    </xf>
    <xf numFmtId="49" fontId="7" fillId="0" borderId="14" xfId="0" applyNumberFormat="1" applyFont="1" applyBorder="1" applyAlignment="1">
      <alignment/>
    </xf>
    <xf numFmtId="168" fontId="7" fillId="35" borderId="0" xfId="0" applyNumberFormat="1" applyFont="1" applyFill="1" applyAlignment="1" quotePrefix="1">
      <alignment horizontal="right"/>
    </xf>
    <xf numFmtId="168" fontId="13" fillId="35" borderId="0" xfId="0" applyNumberFormat="1" applyFont="1" applyFill="1" applyAlignment="1" quotePrefix="1">
      <alignment horizontal="right"/>
    </xf>
    <xf numFmtId="3" fontId="13" fillId="35" borderId="0" xfId="47" applyNumberFormat="1" applyFont="1" applyFill="1" applyBorder="1" applyAlignment="1">
      <alignment vertical="center"/>
    </xf>
    <xf numFmtId="0" fontId="7" fillId="0" borderId="14" xfId="0" applyFont="1" applyFill="1" applyBorder="1" applyAlignment="1">
      <alignment/>
    </xf>
    <xf numFmtId="0" fontId="13" fillId="0" borderId="14" xfId="0" applyFont="1" applyBorder="1" applyAlignment="1">
      <alignment/>
    </xf>
    <xf numFmtId="0" fontId="13" fillId="35" borderId="0" xfId="0" applyFont="1" applyFill="1" applyAlignment="1">
      <alignment/>
    </xf>
    <xf numFmtId="168" fontId="4" fillId="35" borderId="0" xfId="0" applyNumberFormat="1" applyFont="1" applyFill="1" applyBorder="1" applyAlignment="1" applyProtection="1">
      <alignment horizontal="right" vertical="center"/>
      <protection/>
    </xf>
    <xf numFmtId="168" fontId="5" fillId="35" borderId="0" xfId="0" applyNumberFormat="1" applyFont="1" applyFill="1" applyBorder="1" applyAlignment="1" applyProtection="1">
      <alignment horizontal="right" vertical="center"/>
      <protection/>
    </xf>
    <xf numFmtId="168" fontId="7" fillId="35" borderId="0" xfId="0" applyNumberFormat="1" applyFont="1" applyFill="1" applyAlignment="1" applyProtection="1">
      <alignment vertical="center"/>
      <protection locked="0"/>
    </xf>
    <xf numFmtId="168" fontId="13" fillId="35" borderId="0" xfId="0" applyNumberFormat="1" applyFont="1" applyFill="1" applyAlignment="1">
      <alignment/>
    </xf>
    <xf numFmtId="3" fontId="13" fillId="35" borderId="0" xfId="64" applyNumberFormat="1" applyFont="1" applyFill="1" applyAlignment="1">
      <alignment/>
    </xf>
    <xf numFmtId="3" fontId="13" fillId="35" borderId="0" xfId="64" applyNumberFormat="1" applyFont="1" applyFill="1" applyAlignment="1">
      <alignment horizontal="right"/>
    </xf>
    <xf numFmtId="3" fontId="13" fillId="35" borderId="0" xfId="0" applyNumberFormat="1" applyFont="1" applyFill="1" applyAlignment="1">
      <alignment vertical="center"/>
    </xf>
    <xf numFmtId="0" fontId="5" fillId="35" borderId="0" xfId="0" applyFont="1" applyFill="1" applyBorder="1" applyAlignment="1">
      <alignment vertical="center"/>
    </xf>
    <xf numFmtId="3" fontId="13" fillId="35" borderId="0" xfId="49" applyNumberFormat="1" applyFont="1" applyFill="1" applyBorder="1" applyAlignment="1">
      <alignment vertical="center"/>
    </xf>
    <xf numFmtId="17" fontId="7" fillId="0" borderId="14" xfId="0" applyNumberFormat="1" applyFont="1" applyFill="1" applyBorder="1" applyAlignment="1">
      <alignment horizontal="left" vertical="center"/>
    </xf>
    <xf numFmtId="3" fontId="7" fillId="0" borderId="14" xfId="0" applyNumberFormat="1" applyFont="1" applyFill="1" applyBorder="1" applyAlignment="1">
      <alignment horizontal="right" vertical="center" wrapText="1"/>
    </xf>
    <xf numFmtId="3" fontId="7" fillId="0" borderId="14" xfId="0" applyNumberFormat="1" applyFont="1" applyFill="1" applyBorder="1" applyAlignment="1">
      <alignment horizontal="right" vertical="center"/>
    </xf>
    <xf numFmtId="0" fontId="4" fillId="0" borderId="14" xfId="0" applyFont="1" applyFill="1" applyBorder="1" applyAlignment="1">
      <alignment vertical="center"/>
    </xf>
    <xf numFmtId="3" fontId="7" fillId="0" borderId="14" xfId="0" applyNumberFormat="1" applyFont="1" applyFill="1" applyBorder="1" applyAlignment="1">
      <alignment vertical="center"/>
    </xf>
    <xf numFmtId="3" fontId="13" fillId="0" borderId="14" xfId="0" applyNumberFormat="1" applyFont="1" applyFill="1" applyBorder="1" applyAlignment="1">
      <alignment vertical="center"/>
    </xf>
    <xf numFmtId="3" fontId="7" fillId="0" borderId="14" xfId="49" applyNumberFormat="1" applyFont="1" applyFill="1" applyBorder="1" applyAlignment="1">
      <alignment vertical="center"/>
    </xf>
    <xf numFmtId="3" fontId="7" fillId="35" borderId="0" xfId="0" applyNumberFormat="1" applyFont="1" applyFill="1" applyBorder="1" applyAlignment="1">
      <alignment horizontal="right"/>
    </xf>
    <xf numFmtId="3" fontId="13" fillId="35" borderId="0" xfId="0" applyNumberFormat="1" applyFont="1" applyFill="1" applyBorder="1" applyAlignment="1">
      <alignment horizontal="right"/>
    </xf>
    <xf numFmtId="3" fontId="4" fillId="35" borderId="0" xfId="47" applyNumberFormat="1" applyFont="1" applyFill="1" applyBorder="1" applyAlignment="1" applyProtection="1">
      <alignment vertical="center"/>
      <protection locked="0"/>
    </xf>
    <xf numFmtId="3" fontId="5" fillId="35" borderId="0" xfId="0" applyNumberFormat="1" applyFont="1" applyFill="1" applyBorder="1" applyAlignment="1" applyProtection="1">
      <alignment horizontal="right" vertical="center"/>
      <protection/>
    </xf>
    <xf numFmtId="3" fontId="4" fillId="35" borderId="0" xfId="0" applyNumberFormat="1" applyFont="1" applyFill="1" applyAlignment="1" applyProtection="1">
      <alignment vertical="center"/>
      <protection locked="0"/>
    </xf>
    <xf numFmtId="3" fontId="7" fillId="35" borderId="0" xfId="0" applyNumberFormat="1" applyFont="1" applyFill="1" applyBorder="1" applyAlignment="1">
      <alignment vertical="center"/>
    </xf>
    <xf numFmtId="169" fontId="7" fillId="35" borderId="0" xfId="0" applyNumberFormat="1" applyFont="1" applyFill="1" applyAlignment="1" applyProtection="1">
      <alignment vertical="center"/>
      <protection locked="0"/>
    </xf>
    <xf numFmtId="3" fontId="7" fillId="35" borderId="0" xfId="0" applyNumberFormat="1" applyFont="1" applyFill="1" applyAlignment="1" applyProtection="1">
      <alignment vertical="center"/>
      <protection locked="0"/>
    </xf>
    <xf numFmtId="3" fontId="13" fillId="35" borderId="0" xfId="0" applyNumberFormat="1" applyFont="1" applyFill="1" applyBorder="1" applyAlignment="1" applyProtection="1">
      <alignment/>
      <protection/>
    </xf>
    <xf numFmtId="3" fontId="13" fillId="35" borderId="0" xfId="64" applyNumberFormat="1" applyFont="1" applyFill="1" applyBorder="1" applyAlignment="1">
      <alignment vertical="center"/>
    </xf>
    <xf numFmtId="3" fontId="13" fillId="35" borderId="0" xfId="0" applyNumberFormat="1" applyFont="1" applyFill="1" applyAlignment="1">
      <alignment horizontal="right" vertical="center" wrapText="1"/>
    </xf>
    <xf numFmtId="3" fontId="13" fillId="35" borderId="0" xfId="0" applyNumberFormat="1" applyFont="1" applyFill="1" applyBorder="1" applyAlignment="1">
      <alignment horizontal="right" vertical="center" wrapText="1"/>
    </xf>
    <xf numFmtId="0" fontId="9" fillId="0" borderId="14" xfId="0" applyFont="1" applyBorder="1" applyAlignment="1">
      <alignment horizontal="left" vertical="center"/>
    </xf>
    <xf numFmtId="3" fontId="13" fillId="35" borderId="0" xfId="47" applyNumberFormat="1" applyFont="1" applyFill="1" applyBorder="1" applyAlignment="1">
      <alignment horizontal="right" vertical="center"/>
    </xf>
    <xf numFmtId="0" fontId="13" fillId="35" borderId="0" xfId="0" applyFont="1" applyFill="1" applyBorder="1" applyAlignment="1">
      <alignment vertical="center" wrapText="1"/>
    </xf>
    <xf numFmtId="0" fontId="9" fillId="0" borderId="14" xfId="0" applyFont="1" applyBorder="1" applyAlignment="1">
      <alignment/>
    </xf>
    <xf numFmtId="3" fontId="13" fillId="35" borderId="0" xfId="0" applyNumberFormat="1" applyFont="1" applyFill="1" applyAlignment="1">
      <alignment horizontal="right" vertical="center"/>
    </xf>
    <xf numFmtId="0" fontId="10" fillId="34" borderId="0" xfId="0" applyFont="1" applyFill="1" applyAlignment="1">
      <alignment horizontal="center" vertical="center"/>
    </xf>
    <xf numFmtId="0" fontId="13" fillId="35" borderId="0" xfId="0" applyFont="1" applyFill="1" applyAlignment="1">
      <alignment vertical="center"/>
    </xf>
    <xf numFmtId="0" fontId="20" fillId="35" borderId="0" xfId="0" applyFont="1" applyFill="1" applyAlignment="1">
      <alignment horizontal="left"/>
    </xf>
    <xf numFmtId="3" fontId="13" fillId="35" borderId="0" xfId="0" applyNumberFormat="1" applyFont="1" applyFill="1" applyAlignment="1">
      <alignment horizontal="right"/>
    </xf>
    <xf numFmtId="0" fontId="13" fillId="35" borderId="0" xfId="0" applyFont="1" applyFill="1" applyAlignment="1">
      <alignment horizontal="left" vertical="center"/>
    </xf>
    <xf numFmtId="0" fontId="13" fillId="35" borderId="0" xfId="0" applyFont="1" applyFill="1" applyAlignment="1">
      <alignment/>
    </xf>
    <xf numFmtId="168" fontId="13" fillId="35" borderId="0" xfId="0" applyNumberFormat="1" applyFont="1" applyFill="1" applyBorder="1" applyAlignment="1" quotePrefix="1">
      <alignment horizontal="right"/>
    </xf>
    <xf numFmtId="168" fontId="13" fillId="35" borderId="0" xfId="0" applyNumberFormat="1" applyFont="1" applyFill="1" applyBorder="1" applyAlignment="1">
      <alignment vertical="center"/>
    </xf>
    <xf numFmtId="0" fontId="7" fillId="0" borderId="14" xfId="0" applyFont="1" applyBorder="1" applyAlignment="1">
      <alignment horizontal="left" wrapText="1"/>
    </xf>
    <xf numFmtId="3" fontId="13" fillId="36" borderId="0" xfId="55" applyNumberFormat="1" applyFont="1" applyFill="1" applyBorder="1" applyAlignment="1" applyProtection="1">
      <alignment horizontal="right" vertical="center" wrapText="1"/>
      <protection/>
    </xf>
    <xf numFmtId="3" fontId="13" fillId="36" borderId="0" xfId="55" applyNumberFormat="1" applyFont="1" applyFill="1" applyAlignment="1">
      <alignment horizontal="right" vertical="center"/>
      <protection/>
    </xf>
    <xf numFmtId="3" fontId="9" fillId="36" borderId="0" xfId="55" applyNumberFormat="1" applyFont="1" applyFill="1" applyAlignment="1">
      <alignment horizontal="right" vertical="center"/>
      <protection/>
    </xf>
    <xf numFmtId="3" fontId="9" fillId="36" borderId="0" xfId="55" applyNumberFormat="1" applyFont="1" applyFill="1" applyBorder="1" applyAlignment="1" applyProtection="1">
      <alignment horizontal="right" vertical="center" wrapText="1"/>
      <protection/>
    </xf>
    <xf numFmtId="3" fontId="8" fillId="36" borderId="0" xfId="55" applyNumberFormat="1" applyFont="1" applyFill="1" applyBorder="1" applyAlignment="1" applyProtection="1">
      <alignment horizontal="right" vertical="center" wrapText="1"/>
      <protection/>
    </xf>
    <xf numFmtId="3" fontId="7" fillId="36" borderId="0" xfId="55" applyNumberFormat="1" applyFont="1" applyFill="1" applyAlignment="1">
      <alignment horizontal="right" vertical="center"/>
      <protection/>
    </xf>
    <xf numFmtId="0" fontId="5" fillId="36" borderId="0" xfId="0" applyFont="1" applyFill="1" applyBorder="1" applyAlignment="1">
      <alignment horizontal="left" vertical="center"/>
    </xf>
    <xf numFmtId="3" fontId="13" fillId="35" borderId="0" xfId="65" applyNumberFormat="1" applyFont="1" applyFill="1" applyBorder="1" applyAlignment="1">
      <alignment horizontal="right" vertical="center"/>
    </xf>
    <xf numFmtId="0" fontId="13" fillId="36" borderId="0" xfId="0" applyFont="1" applyFill="1" applyAlignment="1">
      <alignment horizontal="left" vertical="center"/>
    </xf>
    <xf numFmtId="3" fontId="13" fillId="35" borderId="0" xfId="49" applyNumberFormat="1" applyFont="1" applyFill="1" applyBorder="1" applyAlignment="1">
      <alignment horizontal="right" vertical="center"/>
    </xf>
    <xf numFmtId="0" fontId="5" fillId="35" borderId="0" xfId="0" applyFont="1" applyFill="1" applyBorder="1" applyAlignment="1">
      <alignment horizontal="left" vertical="center"/>
    </xf>
    <xf numFmtId="168" fontId="13" fillId="35" borderId="0" xfId="49" applyNumberFormat="1" applyFont="1" applyFill="1" applyBorder="1" applyAlignment="1">
      <alignment horizontal="right" vertical="center"/>
    </xf>
    <xf numFmtId="165" fontId="13" fillId="35" borderId="0" xfId="49" applyNumberFormat="1" applyFont="1" applyFill="1" applyBorder="1" applyAlignment="1">
      <alignment horizontal="right" vertical="center"/>
    </xf>
    <xf numFmtId="0" fontId="13" fillId="36" borderId="0" xfId="55" applyFont="1" applyFill="1">
      <alignment/>
      <protection/>
    </xf>
    <xf numFmtId="3" fontId="13" fillId="36" borderId="0" xfId="55" applyNumberFormat="1" applyFont="1" applyFill="1">
      <alignment/>
      <protection/>
    </xf>
    <xf numFmtId="3" fontId="13" fillId="36" borderId="0" xfId="66" applyNumberFormat="1" applyFont="1" applyFill="1" applyBorder="1" applyAlignment="1" applyProtection="1">
      <alignment vertical="center"/>
      <protection/>
    </xf>
    <xf numFmtId="0" fontId="6" fillId="0" borderId="14" xfId="55" applyFont="1" applyBorder="1" applyAlignment="1">
      <alignment horizontal="left" wrapText="1"/>
      <protection/>
    </xf>
    <xf numFmtId="3" fontId="7" fillId="0" borderId="14" xfId="50" applyNumberFormat="1" applyFont="1" applyFill="1" applyBorder="1" applyAlignment="1" applyProtection="1">
      <alignment vertical="center"/>
      <protection/>
    </xf>
    <xf numFmtId="0" fontId="7" fillId="35" borderId="0" xfId="0" applyFont="1" applyFill="1" applyAlignment="1">
      <alignment/>
    </xf>
    <xf numFmtId="3" fontId="5" fillId="35" borderId="0" xfId="0" applyNumberFormat="1" applyFont="1" applyFill="1" applyBorder="1" applyAlignment="1" applyProtection="1">
      <alignment/>
      <protection locked="0"/>
    </xf>
    <xf numFmtId="3" fontId="13" fillId="35" borderId="0" xfId="65" applyNumberFormat="1" applyFont="1" applyFill="1" applyAlignment="1">
      <alignment vertical="center"/>
    </xf>
    <xf numFmtId="3" fontId="13" fillId="35" borderId="0" xfId="65" applyNumberFormat="1" applyFont="1" applyFill="1" applyBorder="1" applyAlignment="1">
      <alignment vertical="center"/>
    </xf>
    <xf numFmtId="0" fontId="8" fillId="35" borderId="0" xfId="0" applyFont="1" applyFill="1" applyBorder="1" applyAlignment="1">
      <alignment vertical="center"/>
    </xf>
    <xf numFmtId="0" fontId="9" fillId="0" borderId="14" xfId="0" applyFont="1" applyFill="1" applyBorder="1" applyAlignment="1">
      <alignment vertical="center"/>
    </xf>
    <xf numFmtId="165" fontId="9" fillId="0" borderId="14" xfId="65" applyNumberFormat="1" applyFont="1" applyFill="1" applyBorder="1" applyAlignment="1">
      <alignment horizontal="right" vertical="center"/>
    </xf>
    <xf numFmtId="165" fontId="8" fillId="0" borderId="14" xfId="65" applyNumberFormat="1" applyFont="1" applyFill="1" applyBorder="1" applyAlignment="1">
      <alignment horizontal="right" vertical="center"/>
    </xf>
    <xf numFmtId="165" fontId="9" fillId="0" borderId="14" xfId="65" applyNumberFormat="1" applyFont="1" applyFill="1" applyBorder="1" applyAlignment="1">
      <alignment vertical="center"/>
    </xf>
    <xf numFmtId="0" fontId="13" fillId="35" borderId="0" xfId="0" applyFont="1" applyFill="1" applyBorder="1" applyAlignment="1">
      <alignment horizontal="left" vertical="center"/>
    </xf>
    <xf numFmtId="3" fontId="13" fillId="35" borderId="0" xfId="0" applyNumberFormat="1" applyFont="1" applyFill="1" applyAlignment="1">
      <alignment horizontal="right" vertical="center" wrapText="1"/>
    </xf>
    <xf numFmtId="11" fontId="13" fillId="35" borderId="0" xfId="0" applyNumberFormat="1" applyFont="1" applyFill="1" applyBorder="1" applyAlignment="1">
      <alignment horizontal="left" vertical="center"/>
    </xf>
    <xf numFmtId="0" fontId="13" fillId="35" borderId="0" xfId="0" applyFont="1" applyFill="1" applyBorder="1" applyAlignment="1">
      <alignment horizontal="left" vertical="center" wrapText="1"/>
    </xf>
    <xf numFmtId="168" fontId="13" fillId="35" borderId="0" xfId="64" applyNumberFormat="1" applyFont="1" applyFill="1" applyAlignment="1">
      <alignment horizontal="right" vertical="center"/>
    </xf>
    <xf numFmtId="0" fontId="7" fillId="0" borderId="14" xfId="0" applyFont="1" applyBorder="1" applyAlignment="1">
      <alignment horizontal="left" vertical="center"/>
    </xf>
    <xf numFmtId="0" fontId="7" fillId="0" borderId="14" xfId="0" applyFont="1" applyBorder="1" applyAlignment="1">
      <alignment/>
    </xf>
    <xf numFmtId="0" fontId="13" fillId="0" borderId="14" xfId="0" applyFont="1" applyBorder="1" applyAlignment="1">
      <alignment/>
    </xf>
    <xf numFmtId="3" fontId="7" fillId="35" borderId="0" xfId="0" applyNumberFormat="1" applyFont="1" applyFill="1" applyAlignment="1">
      <alignment vertical="center"/>
    </xf>
    <xf numFmtId="3" fontId="7" fillId="35" borderId="0" xfId="47" applyNumberFormat="1" applyFont="1" applyFill="1" applyBorder="1" applyAlignment="1">
      <alignment vertical="center"/>
    </xf>
    <xf numFmtId="3" fontId="4" fillId="0" borderId="14" xfId="0" applyNumberFormat="1" applyFont="1" applyFill="1" applyBorder="1" applyAlignment="1">
      <alignment/>
    </xf>
    <xf numFmtId="0" fontId="4" fillId="0" borderId="14" xfId="0" applyFont="1" applyBorder="1" applyAlignment="1">
      <alignment/>
    </xf>
    <xf numFmtId="11" fontId="13" fillId="35" borderId="0" xfId="0" applyNumberFormat="1" applyFont="1" applyFill="1" applyBorder="1" applyAlignment="1">
      <alignment horizontal="left" vertical="center"/>
    </xf>
    <xf numFmtId="165" fontId="5" fillId="35" borderId="0" xfId="0" applyNumberFormat="1" applyFont="1" applyFill="1" applyBorder="1" applyAlignment="1" applyProtection="1">
      <alignment horizontal="right" wrapText="1"/>
      <protection/>
    </xf>
    <xf numFmtId="169" fontId="7" fillId="35" borderId="0" xfId="0" applyNumberFormat="1" applyFont="1" applyFill="1" applyAlignment="1" applyProtection="1">
      <alignment/>
      <protection locked="0"/>
    </xf>
    <xf numFmtId="3" fontId="13" fillId="35" borderId="0" xfId="0" applyNumberFormat="1" applyFont="1" applyFill="1" applyBorder="1" applyAlignment="1" applyProtection="1">
      <alignment horizontal="right"/>
      <protection/>
    </xf>
    <xf numFmtId="3" fontId="7" fillId="35" borderId="0" xfId="0" applyNumberFormat="1" applyFont="1" applyFill="1" applyAlignment="1" applyProtection="1">
      <alignment/>
      <protection locked="0"/>
    </xf>
    <xf numFmtId="0" fontId="7" fillId="35" borderId="0" xfId="0" applyFont="1" applyFill="1" applyBorder="1" applyAlignment="1">
      <alignment horizontal="right"/>
    </xf>
    <xf numFmtId="0" fontId="7" fillId="35" borderId="0" xfId="0" applyFont="1" applyFill="1" applyBorder="1" applyAlignment="1">
      <alignment/>
    </xf>
    <xf numFmtId="3" fontId="13" fillId="35" borderId="0" xfId="0" applyNumberFormat="1" applyFont="1" applyFill="1" applyBorder="1" applyAlignment="1">
      <alignment/>
    </xf>
    <xf numFmtId="0" fontId="9" fillId="0" borderId="14" xfId="0" applyFont="1" applyFill="1" applyBorder="1" applyAlignment="1">
      <alignment/>
    </xf>
    <xf numFmtId="3" fontId="9" fillId="0" borderId="14" xfId="0" applyNumberFormat="1" applyFont="1" applyFill="1" applyBorder="1" applyAlignment="1">
      <alignment vertical="center"/>
    </xf>
    <xf numFmtId="168" fontId="9" fillId="0" borderId="14" xfId="64" applyNumberFormat="1" applyFont="1" applyFill="1" applyBorder="1" applyAlignment="1">
      <alignment vertical="center"/>
    </xf>
    <xf numFmtId="3" fontId="7" fillId="35" borderId="0" xfId="47" applyNumberFormat="1" applyFont="1" applyFill="1" applyBorder="1" applyAlignment="1" applyProtection="1">
      <alignment horizontal="right" vertical="center" wrapText="1"/>
      <protection locked="0"/>
    </xf>
    <xf numFmtId="169" fontId="7" fillId="0" borderId="0" xfId="0" applyNumberFormat="1" applyFont="1" applyBorder="1" applyAlignment="1" applyProtection="1">
      <alignment vertical="center"/>
      <protection locked="0"/>
    </xf>
    <xf numFmtId="3" fontId="5" fillId="35" borderId="0" xfId="60" applyNumberFormat="1" applyFont="1" applyFill="1" applyBorder="1" applyAlignment="1" applyProtection="1">
      <alignment horizontal="right" vertical="center"/>
      <protection locked="0"/>
    </xf>
    <xf numFmtId="3" fontId="15" fillId="35" borderId="0" xfId="0" applyNumberFormat="1" applyFont="1" applyFill="1" applyBorder="1" applyAlignment="1">
      <alignment vertical="center"/>
    </xf>
    <xf numFmtId="3" fontId="18" fillId="35" borderId="0" xfId="0" applyNumberFormat="1" applyFont="1" applyFill="1" applyBorder="1" applyAlignment="1">
      <alignment vertical="center"/>
    </xf>
    <xf numFmtId="3" fontId="7" fillId="35" borderId="0" xfId="0" applyNumberFormat="1" applyFont="1" applyFill="1" applyBorder="1" applyAlignment="1">
      <alignment/>
    </xf>
    <xf numFmtId="3" fontId="7" fillId="35" borderId="0" xfId="0" applyNumberFormat="1" applyFont="1" applyFill="1" applyBorder="1" applyAlignment="1">
      <alignment horizontal="right" vertical="center" wrapText="1"/>
    </xf>
    <xf numFmtId="3" fontId="7" fillId="35" borderId="0" xfId="59" applyNumberFormat="1" applyFont="1" applyFill="1" applyBorder="1" applyAlignment="1">
      <alignment horizontal="right" vertical="center" wrapText="1"/>
      <protection/>
    </xf>
    <xf numFmtId="170" fontId="13" fillId="35" borderId="0" xfId="0" applyNumberFormat="1" applyFont="1" applyFill="1" applyBorder="1" applyAlignment="1">
      <alignment vertical="center"/>
    </xf>
    <xf numFmtId="170" fontId="7" fillId="35" borderId="0" xfId="0" applyNumberFormat="1" applyFont="1" applyFill="1" applyBorder="1" applyAlignment="1">
      <alignment vertical="center"/>
    </xf>
    <xf numFmtId="178" fontId="13" fillId="35" borderId="0" xfId="0" applyNumberFormat="1" applyFont="1" applyFill="1" applyBorder="1" applyAlignment="1">
      <alignment vertical="center"/>
    </xf>
    <xf numFmtId="0" fontId="9" fillId="0" borderId="14" xfId="0" applyFont="1" applyBorder="1" applyAlignment="1">
      <alignment/>
    </xf>
    <xf numFmtId="0" fontId="7" fillId="0" borderId="14" xfId="0" applyFont="1" applyBorder="1" applyAlignment="1">
      <alignment horizontal="center" vertical="center"/>
    </xf>
    <xf numFmtId="0" fontId="7" fillId="0" borderId="14" xfId="0" applyFont="1" applyBorder="1" applyAlignment="1">
      <alignment horizontal="right" vertical="center" wrapText="1"/>
    </xf>
    <xf numFmtId="0" fontId="13" fillId="0" borderId="14" xfId="0" applyFont="1" applyFill="1" applyBorder="1" applyAlignment="1">
      <alignment horizontal="right" vertical="center" wrapText="1"/>
    </xf>
    <xf numFmtId="0" fontId="13" fillId="35" borderId="0" xfId="0" applyFont="1" applyFill="1" applyBorder="1" applyAlignment="1">
      <alignment/>
    </xf>
    <xf numFmtId="168" fontId="13" fillId="35" borderId="0" xfId="0" applyNumberFormat="1" applyFont="1" applyFill="1" applyBorder="1" applyAlignment="1">
      <alignment/>
    </xf>
    <xf numFmtId="0" fontId="5" fillId="35" borderId="0" xfId="0" applyFont="1" applyFill="1" applyAlignment="1">
      <alignment vertical="center"/>
    </xf>
    <xf numFmtId="3" fontId="5" fillId="35" borderId="0" xfId="0" applyNumberFormat="1" applyFont="1" applyFill="1" applyAlignment="1">
      <alignment vertical="center"/>
    </xf>
    <xf numFmtId="3" fontId="5" fillId="35" borderId="0" xfId="0" applyNumberFormat="1" applyFont="1" applyFill="1" applyAlignment="1">
      <alignment horizontal="right" vertical="center"/>
    </xf>
    <xf numFmtId="3" fontId="5" fillId="35" borderId="0" xfId="0" applyNumberFormat="1" applyFont="1" applyFill="1" applyBorder="1" applyAlignment="1">
      <alignment vertical="center"/>
    </xf>
    <xf numFmtId="0" fontId="14" fillId="35" borderId="0" xfId="0" applyFont="1" applyFill="1" applyAlignment="1">
      <alignment vertical="center"/>
    </xf>
    <xf numFmtId="165" fontId="14" fillId="35" borderId="0" xfId="0" applyNumberFormat="1" applyFont="1" applyFill="1" applyAlignment="1">
      <alignment horizontal="right" vertical="center"/>
    </xf>
    <xf numFmtId="0" fontId="5" fillId="35" borderId="0" xfId="0" applyFont="1" applyFill="1" applyAlignment="1">
      <alignment vertical="center"/>
    </xf>
    <xf numFmtId="0" fontId="4" fillId="35" borderId="0" xfId="0" applyFont="1" applyFill="1" applyAlignment="1">
      <alignment horizontal="right" vertical="center"/>
    </xf>
    <xf numFmtId="3" fontId="13" fillId="35" borderId="0" xfId="0" applyNumberFormat="1" applyFont="1" applyFill="1" applyBorder="1" applyAlignment="1" applyProtection="1">
      <alignment vertical="center"/>
      <protection/>
    </xf>
    <xf numFmtId="1" fontId="7" fillId="35" borderId="0" xfId="0" applyNumberFormat="1" applyFont="1" applyFill="1" applyAlignment="1" applyProtection="1">
      <alignment vertical="center"/>
      <protection locked="0"/>
    </xf>
    <xf numFmtId="0" fontId="0" fillId="0" borderId="14" xfId="0" applyBorder="1" applyAlignment="1">
      <alignment vertical="center"/>
    </xf>
    <xf numFmtId="0" fontId="5" fillId="35" borderId="0" xfId="0" applyFont="1" applyFill="1" applyAlignment="1">
      <alignment horizontal="right" vertical="center"/>
    </xf>
    <xf numFmtId="0" fontId="5" fillId="35" borderId="0" xfId="0" applyFont="1" applyFill="1" applyBorder="1" applyAlignment="1">
      <alignment horizontal="right" vertical="center"/>
    </xf>
    <xf numFmtId="3" fontId="5" fillId="35" borderId="0" xfId="0" applyNumberFormat="1" applyFont="1" applyFill="1" applyBorder="1" applyAlignment="1">
      <alignment horizontal="right" vertical="center"/>
    </xf>
    <xf numFmtId="3" fontId="7" fillId="35" borderId="0" xfId="0" applyNumberFormat="1" applyFont="1" applyFill="1" applyBorder="1" applyAlignment="1" applyProtection="1">
      <alignment vertical="center"/>
      <protection locked="0"/>
    </xf>
    <xf numFmtId="3" fontId="5" fillId="35" borderId="0" xfId="0" applyNumberFormat="1" applyFont="1" applyFill="1" applyAlignment="1">
      <alignment horizontal="right" vertical="center"/>
    </xf>
    <xf numFmtId="0" fontId="5" fillId="35" borderId="0" xfId="55" applyFont="1" applyFill="1" applyAlignment="1">
      <alignment vertical="center"/>
      <protection/>
    </xf>
    <xf numFmtId="3" fontId="5" fillId="35" borderId="0" xfId="55" applyNumberFormat="1" applyFont="1" applyFill="1" applyAlignment="1">
      <alignment vertical="center"/>
      <protection/>
    </xf>
    <xf numFmtId="3" fontId="13" fillId="35" borderId="0" xfId="55" applyNumberFormat="1" applyFont="1" applyFill="1" applyBorder="1" applyAlignment="1" applyProtection="1">
      <alignment vertical="center"/>
      <protection locked="0"/>
    </xf>
    <xf numFmtId="3" fontId="13" fillId="35" borderId="0" xfId="55" applyNumberFormat="1" applyFont="1" applyFill="1" applyBorder="1" applyAlignment="1" applyProtection="1">
      <alignment vertical="center"/>
      <protection/>
    </xf>
    <xf numFmtId="3" fontId="13" fillId="35" borderId="0" xfId="55" applyNumberFormat="1" applyFont="1" applyFill="1" applyAlignment="1" applyProtection="1">
      <alignment vertical="center"/>
      <protection locked="0"/>
    </xf>
    <xf numFmtId="0" fontId="1" fillId="0" borderId="14" xfId="55" applyBorder="1" applyAlignment="1">
      <alignment vertical="center"/>
      <protection/>
    </xf>
    <xf numFmtId="3" fontId="5" fillId="35" borderId="0" xfId="0" applyNumberFormat="1" applyFont="1" applyFill="1" applyBorder="1" applyAlignment="1">
      <alignment vertical="center"/>
    </xf>
    <xf numFmtId="3" fontId="5" fillId="35" borderId="0" xfId="0" applyNumberFormat="1" applyFont="1" applyFill="1" applyAlignment="1">
      <alignment vertical="center"/>
    </xf>
    <xf numFmtId="3" fontId="13" fillId="35" borderId="0" xfId="0" applyNumberFormat="1" applyFont="1" applyFill="1" applyBorder="1" applyAlignment="1">
      <alignment horizontal="right" vertical="center"/>
    </xf>
    <xf numFmtId="0" fontId="1" fillId="0" borderId="14" xfId="0" applyFont="1" applyFill="1" applyBorder="1" applyAlignment="1">
      <alignment vertical="center"/>
    </xf>
    <xf numFmtId="0" fontId="105" fillId="0" borderId="14" xfId="0" applyFont="1" applyBorder="1" applyAlignment="1">
      <alignment vertical="center"/>
    </xf>
    <xf numFmtId="0" fontId="45" fillId="0" borderId="14" xfId="0" applyFont="1" applyFill="1" applyBorder="1" applyAlignment="1">
      <alignment vertical="center"/>
    </xf>
    <xf numFmtId="169" fontId="13" fillId="35" borderId="0" xfId="0" applyNumberFormat="1" applyFont="1" applyFill="1" applyAlignment="1">
      <alignment horizontal="right" vertical="center"/>
    </xf>
    <xf numFmtId="3" fontId="13" fillId="35" borderId="0" xfId="0" applyNumberFormat="1" applyFont="1" applyFill="1" applyBorder="1" applyAlignment="1" quotePrefix="1">
      <alignment/>
    </xf>
    <xf numFmtId="0" fontId="4" fillId="0" borderId="14" xfId="0" applyNumberFormat="1" applyFont="1" applyBorder="1" applyAlignment="1" quotePrefix="1">
      <alignment horizontal="left"/>
    </xf>
    <xf numFmtId="3" fontId="7" fillId="0" borderId="14" xfId="0" applyNumberFormat="1" applyFont="1" applyFill="1" applyBorder="1" applyAlignment="1" applyProtection="1">
      <alignment horizontal="right" wrapText="1"/>
      <protection locked="0"/>
    </xf>
    <xf numFmtId="3" fontId="13" fillId="0" borderId="14" xfId="0" applyNumberFormat="1" applyFont="1" applyFill="1" applyBorder="1" applyAlignment="1" applyProtection="1">
      <alignment horizontal="right" wrapText="1"/>
      <protection/>
    </xf>
    <xf numFmtId="3" fontId="7" fillId="0" borderId="14" xfId="0" applyNumberFormat="1" applyFont="1" applyBorder="1" applyAlignment="1" applyProtection="1">
      <alignment/>
      <protection locked="0"/>
    </xf>
    <xf numFmtId="0" fontId="7" fillId="35" borderId="0" xfId="0" applyFont="1" applyFill="1" applyAlignment="1">
      <alignment horizontal="right"/>
    </xf>
    <xf numFmtId="0" fontId="7" fillId="35" borderId="0" xfId="0" applyFont="1" applyFill="1" applyAlignment="1">
      <alignment horizontal="right" vertical="center"/>
    </xf>
    <xf numFmtId="3" fontId="13" fillId="35" borderId="0" xfId="0" applyNumberFormat="1" applyFont="1" applyFill="1" applyAlignment="1">
      <alignment/>
    </xf>
    <xf numFmtId="168" fontId="13" fillId="35" borderId="0" xfId="0" applyNumberFormat="1" applyFont="1" applyFill="1" applyAlignment="1">
      <alignment/>
    </xf>
    <xf numFmtId="169" fontId="13" fillId="35" borderId="0" xfId="0" applyNumberFormat="1" applyFont="1" applyFill="1" applyAlignment="1">
      <alignment/>
    </xf>
    <xf numFmtId="168" fontId="8" fillId="35" borderId="0" xfId="0" applyNumberFormat="1" applyFont="1" applyFill="1" applyAlignment="1">
      <alignment horizontal="right"/>
    </xf>
    <xf numFmtId="168" fontId="13" fillId="35" borderId="0" xfId="0" applyNumberFormat="1" applyFont="1" applyFill="1" applyBorder="1" applyAlignment="1">
      <alignment/>
    </xf>
    <xf numFmtId="9" fontId="4" fillId="0" borderId="14" xfId="64" applyFont="1" applyBorder="1" applyAlignment="1">
      <alignment/>
    </xf>
    <xf numFmtId="9" fontId="5" fillId="0" borderId="14" xfId="64" applyFont="1" applyBorder="1" applyAlignment="1">
      <alignment/>
    </xf>
    <xf numFmtId="0" fontId="122" fillId="34" borderId="0" xfId="0" applyFont="1" applyFill="1" applyAlignment="1">
      <alignment/>
    </xf>
    <xf numFmtId="0" fontId="10" fillId="34" borderId="0" xfId="0" applyFont="1" applyFill="1" applyAlignment="1">
      <alignment horizontal="center"/>
    </xf>
    <xf numFmtId="0" fontId="10" fillId="34" borderId="0" xfId="0" applyFont="1" applyFill="1" applyAlignment="1">
      <alignment horizontal="center" vertical="center"/>
    </xf>
    <xf numFmtId="165" fontId="10" fillId="34" borderId="0" xfId="0" applyNumberFormat="1" applyFont="1" applyFill="1" applyAlignment="1">
      <alignment horizontal="center" vertical="center"/>
    </xf>
    <xf numFmtId="0" fontId="11" fillId="34" borderId="0" xfId="0" applyFont="1" applyFill="1" applyAlignment="1">
      <alignment horizontal="center" vertical="center"/>
    </xf>
    <xf numFmtId="175" fontId="7" fillId="0" borderId="0" xfId="47" applyNumberFormat="1" applyFont="1" applyFill="1" applyBorder="1" applyAlignment="1">
      <alignment vertical="center"/>
    </xf>
    <xf numFmtId="0" fontId="15" fillId="0" borderId="0" xfId="0" applyFont="1" applyAlignment="1">
      <alignment horizontal="center"/>
    </xf>
    <xf numFmtId="3" fontId="4" fillId="35" borderId="0" xfId="0" applyNumberFormat="1" applyFont="1" applyFill="1" applyAlignment="1">
      <alignment vertical="center"/>
    </xf>
    <xf numFmtId="3" fontId="13" fillId="35" borderId="0" xfId="47" applyNumberFormat="1" applyFont="1" applyFill="1" applyBorder="1" applyAlignment="1">
      <alignment horizontal="right" vertical="center"/>
    </xf>
    <xf numFmtId="3" fontId="7" fillId="35" borderId="0" xfId="47" applyNumberFormat="1" applyFont="1" applyFill="1" applyBorder="1" applyAlignment="1">
      <alignment horizontal="right" vertical="center"/>
    </xf>
    <xf numFmtId="175" fontId="13" fillId="0" borderId="0" xfId="47" applyNumberFormat="1" applyFont="1" applyFill="1" applyBorder="1" applyAlignment="1">
      <alignment vertical="center"/>
    </xf>
    <xf numFmtId="0" fontId="11" fillId="34" borderId="0" xfId="0" applyFont="1" applyFill="1" applyAlignment="1">
      <alignment horizontal="center"/>
    </xf>
    <xf numFmtId="0" fontId="21" fillId="34" borderId="0" xfId="0" applyFont="1" applyFill="1" applyAlignment="1">
      <alignment horizontal="center" vertical="center"/>
    </xf>
    <xf numFmtId="3" fontId="15" fillId="0" borderId="0" xfId="47" applyNumberFormat="1" applyFont="1" applyFill="1" applyBorder="1" applyAlignment="1">
      <alignment horizontal="center" vertical="center"/>
    </xf>
    <xf numFmtId="3" fontId="7" fillId="0" borderId="0" xfId="47" applyNumberFormat="1" applyFont="1" applyFill="1" applyBorder="1" applyAlignment="1">
      <alignment horizontal="right" vertical="center"/>
    </xf>
    <xf numFmtId="3" fontId="13" fillId="0" borderId="0" xfId="47" applyNumberFormat="1" applyFont="1" applyFill="1" applyBorder="1" applyAlignment="1">
      <alignment horizontal="right" vertical="center"/>
    </xf>
    <xf numFmtId="3" fontId="13" fillId="0" borderId="0" xfId="0" applyNumberFormat="1" applyFont="1" applyFill="1" applyAlignment="1">
      <alignment horizontal="right" vertical="center"/>
    </xf>
    <xf numFmtId="0" fontId="13" fillId="0" borderId="0" xfId="0" applyFont="1" applyFill="1" applyAlignment="1">
      <alignment horizontal="right" vertical="center"/>
    </xf>
    <xf numFmtId="3" fontId="7" fillId="0" borderId="0" xfId="0" applyNumberFormat="1" applyFont="1" applyFill="1" applyAlignment="1">
      <alignment horizontal="right" vertical="center"/>
    </xf>
    <xf numFmtId="3" fontId="7" fillId="0" borderId="0" xfId="0" applyNumberFormat="1" applyFont="1" applyFill="1" applyAlignment="1">
      <alignment horizontal="right" vertical="center"/>
    </xf>
    <xf numFmtId="3" fontId="4" fillId="0" borderId="0" xfId="0" applyNumberFormat="1" applyFont="1" applyFill="1" applyBorder="1" applyAlignment="1" applyProtection="1">
      <alignment horizontal="right" vertical="center"/>
      <protection locked="0"/>
    </xf>
    <xf numFmtId="0" fontId="10" fillId="37" borderId="0" xfId="55" applyFont="1" applyFill="1" applyBorder="1" applyAlignment="1">
      <alignment horizontal="center" vertical="center"/>
      <protection/>
    </xf>
    <xf numFmtId="0" fontId="123" fillId="37" borderId="0" xfId="55" applyFont="1" applyFill="1" applyBorder="1" applyAlignment="1">
      <alignment horizontal="center" vertical="center"/>
      <protection/>
    </xf>
    <xf numFmtId="0" fontId="10" fillId="34" borderId="0" xfId="0" applyFont="1" applyFill="1" applyAlignment="1">
      <alignment horizontal="center" vertical="center"/>
    </xf>
    <xf numFmtId="0" fontId="11" fillId="34" borderId="0" xfId="0" applyFont="1" applyFill="1" applyAlignment="1">
      <alignment horizontal="center" vertical="center"/>
    </xf>
    <xf numFmtId="3" fontId="13" fillId="0" borderId="0" xfId="0" applyNumberFormat="1" applyFont="1" applyFill="1" applyAlignment="1">
      <alignment vertical="center"/>
    </xf>
    <xf numFmtId="3" fontId="13" fillId="0" borderId="0" xfId="47" applyNumberFormat="1" applyFont="1" applyFill="1" applyBorder="1" applyAlignment="1">
      <alignment vertical="center"/>
    </xf>
    <xf numFmtId="0" fontId="123" fillId="34" borderId="0" xfId="0" applyFont="1" applyFill="1" applyAlignment="1">
      <alignment horizontal="center" vertical="center"/>
    </xf>
    <xf numFmtId="0" fontId="10" fillId="34" borderId="0" xfId="55" applyFont="1" applyFill="1" applyAlignment="1">
      <alignment horizontal="center" vertical="center"/>
      <protection/>
    </xf>
    <xf numFmtId="0" fontId="11" fillId="34" borderId="0" xfId="55" applyFont="1" applyFill="1" applyAlignment="1">
      <alignment horizontal="center" vertical="center"/>
      <protection/>
    </xf>
    <xf numFmtId="0" fontId="4" fillId="0" borderId="0" xfId="0" applyFont="1" applyAlignment="1">
      <alignment horizontal="left" vertical="center" wrapText="1"/>
    </xf>
    <xf numFmtId="0" fontId="10" fillId="34" borderId="0" xfId="0" applyFont="1" applyFill="1" applyAlignment="1">
      <alignment horizontal="center" vertical="center"/>
    </xf>
    <xf numFmtId="0" fontId="11" fillId="34" borderId="0" xfId="0" applyFont="1" applyFill="1" applyAlignment="1">
      <alignment horizontal="center" vertical="center"/>
    </xf>
    <xf numFmtId="0" fontId="5" fillId="35" borderId="0" xfId="0" applyFont="1" applyFill="1" applyAlignment="1">
      <alignment vertical="center"/>
    </xf>
    <xf numFmtId="0" fontId="5" fillId="35" borderId="0" xfId="0" applyFont="1" applyFill="1" applyAlignment="1">
      <alignment vertical="center"/>
    </xf>
    <xf numFmtId="0" fontId="13" fillId="0" borderId="0" xfId="0" applyFont="1" applyFill="1" applyAlignment="1">
      <alignment horizontal="center" vertical="center"/>
    </xf>
    <xf numFmtId="0" fontId="53" fillId="34" borderId="0" xfId="0" applyFont="1" applyFill="1" applyAlignment="1">
      <alignment horizontal="center" vertical="center"/>
    </xf>
  </cellXfs>
  <cellStyles count="6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Milliers 2 2" xfId="50"/>
    <cellStyle name="Currency" xfId="51"/>
    <cellStyle name="Currency [0]" xfId="52"/>
    <cellStyle name="Neutre" xfId="53"/>
    <cellStyle name="Normal 2" xfId="54"/>
    <cellStyle name="Normal 3" xfId="55"/>
    <cellStyle name="normal_BMSDécembre_Mariages_2004" xfId="56"/>
    <cellStyle name="Normal_Feuil1" xfId="57"/>
    <cellStyle name="Normal_Feuil4" xfId="58"/>
    <cellStyle name="Normal_Maquette à contrôler_panofranc2012_extrait PDL" xfId="59"/>
    <cellStyle name="Normal_Maquette à saisir_5" xfId="60"/>
    <cellStyle name="Normal_Maquette à saisir_panofranc2012_extrait PDL" xfId="61"/>
    <cellStyle name="Normal_TCEMP003_1" xfId="62"/>
    <cellStyle name="Normal_xxpop0212" xfId="63"/>
    <cellStyle name="Percent" xfId="64"/>
    <cellStyle name="Pourcentage 2" xfId="65"/>
    <cellStyle name="Pourcentage 2 2" xfId="66"/>
    <cellStyle name="Pourcentage 3" xfId="67"/>
    <cellStyle name="Satisfaisant" xfId="68"/>
    <cellStyle name="Sortie" xfId="69"/>
    <cellStyle name="Texte explicatif" xfId="70"/>
    <cellStyle name="Titre" xfId="71"/>
    <cellStyle name="Titre 1" xfId="72"/>
    <cellStyle name="Titre 2" xfId="73"/>
    <cellStyle name="Titre 3" xfId="74"/>
    <cellStyle name="Titre 4" xfId="75"/>
    <cellStyle name="Total" xfId="76"/>
    <cellStyle name="Vérification"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styles" Target="styles.xml" /><Relationship Id="rId60" Type="http://schemas.openxmlformats.org/officeDocument/2006/relationships/sharedStrings" Target="sharedStrings.xml" /><Relationship Id="rId6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drawing16.xml.rels><?xml version="1.0" encoding="utf-8" standalone="yes"?><Relationships xmlns="http://schemas.openxmlformats.org/package/2006/relationships"><Relationship Id="rId1" Type="http://schemas.openxmlformats.org/officeDocument/2006/relationships/image" Target="../media/image4.emf" /></Relationships>
</file>

<file path=xl/drawings/_rels/drawing17.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9525</xdr:colOff>
      <xdr:row>30</xdr:row>
      <xdr:rowOff>171450</xdr:rowOff>
    </xdr:to>
    <xdr:pic>
      <xdr:nvPicPr>
        <xdr:cNvPr id="1" name="Picture 868"/>
        <xdr:cNvPicPr preferRelativeResize="1">
          <a:picLocks noChangeAspect="1"/>
        </xdr:cNvPicPr>
      </xdr:nvPicPr>
      <xdr:blipFill>
        <a:blip r:embed="rId1"/>
        <a:stretch>
          <a:fillRect/>
        </a:stretch>
      </xdr:blipFill>
      <xdr:spPr>
        <a:xfrm>
          <a:off x="0" y="0"/>
          <a:ext cx="9153525" cy="5886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7</xdr:col>
      <xdr:colOff>361950</xdr:colOff>
      <xdr:row>0</xdr:row>
      <xdr:rowOff>0</xdr:rowOff>
    </xdr:to>
    <xdr:sp>
      <xdr:nvSpPr>
        <xdr:cNvPr id="1" name="Text Box 1"/>
        <xdr:cNvSpPr txBox="1">
          <a:spLocks noChangeArrowheads="1"/>
        </xdr:cNvSpPr>
      </xdr:nvSpPr>
      <xdr:spPr>
        <a:xfrm>
          <a:off x="1743075" y="0"/>
          <a:ext cx="2867025" cy="0"/>
        </a:xfrm>
        <a:prstGeom prst="rect">
          <a:avLst/>
        </a:prstGeom>
        <a:solidFill>
          <a:srgbClr val="FFFFCC"/>
        </a:solidFill>
        <a:ln w="9525" cmpd="sng">
          <a:solidFill>
            <a:srgbClr val="000000"/>
          </a:solidFill>
          <a:headEnd type="none"/>
          <a:tailEnd type="none"/>
        </a:ln>
      </xdr:spPr>
      <xdr:txBody>
        <a:bodyPr vertOverflow="clip" wrap="square" lIns="45720" tIns="41148" rIns="45720" bIns="0"/>
        <a:p>
          <a:pPr algn="ctr">
            <a:defRPr/>
          </a:pPr>
          <a:r>
            <a:rPr lang="en-US" cap="none" sz="1100" b="0" i="0" u="none" baseline="0">
              <a:solidFill>
                <a:srgbClr val="000000"/>
              </a:solidFill>
              <a:latin typeface="Calibri"/>
              <a:ea typeface="Calibri"/>
              <a:cs typeface="Calibri"/>
            </a:rPr>
            <a:t>seulement si on passe du temps à extraire des fichiers du RNA !
</a:t>
          </a:r>
          <a:r>
            <a:rPr lang="en-US" cap="none" sz="1100" b="0" i="0" u="none" baseline="0">
              <a:solidFill>
                <a:srgbClr val="000000"/>
              </a:solidFill>
              <a:latin typeface="Calibri"/>
              <a:ea typeface="Calibri"/>
              <a:cs typeface="Calibri"/>
            </a:rPr>
            <a:t>voir quelles personnes peuvent s'en charger</a:t>
          </a:r>
        </a:p>
      </xdr:txBody>
    </xdr:sp>
    <xdr:clientData/>
  </xdr:twoCellAnchor>
  <xdr:twoCellAnchor>
    <xdr:from>
      <xdr:col>0</xdr:col>
      <xdr:colOff>361950</xdr:colOff>
      <xdr:row>0</xdr:row>
      <xdr:rowOff>0</xdr:rowOff>
    </xdr:from>
    <xdr:to>
      <xdr:col>0</xdr:col>
      <xdr:colOff>628650</xdr:colOff>
      <xdr:row>0</xdr:row>
      <xdr:rowOff>0</xdr:rowOff>
    </xdr:to>
    <xdr:sp>
      <xdr:nvSpPr>
        <xdr:cNvPr id="2" name="Text Box 2"/>
        <xdr:cNvSpPr txBox="1">
          <a:spLocks noChangeArrowheads="1"/>
        </xdr:cNvSpPr>
      </xdr:nvSpPr>
      <xdr:spPr>
        <a:xfrm>
          <a:off x="361950" y="0"/>
          <a:ext cx="266700" cy="0"/>
        </a:xfrm>
        <a:prstGeom prst="rect">
          <a:avLst/>
        </a:prstGeom>
        <a:solidFill>
          <a:srgbClr val="FFFFFF"/>
        </a:solidFill>
        <a:ln w="28575" cmpd="sng">
          <a:solidFill>
            <a:srgbClr val="FF0000"/>
          </a:solidFill>
          <a:headEnd type="none"/>
          <a:tailEnd type="none"/>
        </a:ln>
      </xdr:spPr>
      <xdr:txBody>
        <a:bodyPr vertOverflow="clip" wrap="square" lIns="36576" tIns="45720" rIns="36576" bIns="0"/>
        <a:p>
          <a:pPr algn="ctr">
            <a:defRPr/>
          </a:pPr>
          <a:r>
            <a:rPr lang="en-US" cap="none" sz="1100" b="0" i="0" u="none" baseline="0">
              <a:solidFill>
                <a:srgbClr val="FF0000"/>
              </a:solidFil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7</xdr:col>
      <xdr:colOff>361950</xdr:colOff>
      <xdr:row>0</xdr:row>
      <xdr:rowOff>0</xdr:rowOff>
    </xdr:to>
    <xdr:sp>
      <xdr:nvSpPr>
        <xdr:cNvPr id="1" name="Text Box 1"/>
        <xdr:cNvSpPr txBox="1">
          <a:spLocks noChangeArrowheads="1"/>
        </xdr:cNvSpPr>
      </xdr:nvSpPr>
      <xdr:spPr>
        <a:xfrm>
          <a:off x="1714500" y="0"/>
          <a:ext cx="2924175" cy="0"/>
        </a:xfrm>
        <a:prstGeom prst="rect">
          <a:avLst/>
        </a:prstGeom>
        <a:solidFill>
          <a:srgbClr val="FFFFCC"/>
        </a:solidFill>
        <a:ln w="9525" cmpd="sng">
          <a:solidFill>
            <a:srgbClr val="000000"/>
          </a:solidFill>
          <a:headEnd type="none"/>
          <a:tailEnd type="none"/>
        </a:ln>
      </xdr:spPr>
      <xdr:txBody>
        <a:bodyPr vertOverflow="clip" wrap="square" lIns="45720" tIns="41148" rIns="45720" bIns="0"/>
        <a:p>
          <a:pPr algn="ctr">
            <a:defRPr/>
          </a:pPr>
          <a:r>
            <a:rPr lang="en-US" cap="none" sz="1100" b="0" i="0" u="none" baseline="0">
              <a:solidFill>
                <a:srgbClr val="000000"/>
              </a:solidFill>
              <a:latin typeface="Calibri"/>
              <a:ea typeface="Calibri"/>
              <a:cs typeface="Calibri"/>
            </a:rPr>
            <a:t>seulement si on passe du temps à extraire des fichiers du RNA !
</a:t>
          </a:r>
          <a:r>
            <a:rPr lang="en-US" cap="none" sz="1100" b="0" i="0" u="none" baseline="0">
              <a:solidFill>
                <a:srgbClr val="000000"/>
              </a:solidFill>
              <a:latin typeface="Calibri"/>
              <a:ea typeface="Calibri"/>
              <a:cs typeface="Calibri"/>
            </a:rPr>
            <a:t>voir quelles personnes peuvent s'en charger</a:t>
          </a:r>
        </a:p>
      </xdr:txBody>
    </xdr:sp>
    <xdr:clientData/>
  </xdr:twoCellAnchor>
  <xdr:twoCellAnchor>
    <xdr:from>
      <xdr:col>1</xdr:col>
      <xdr:colOff>0</xdr:colOff>
      <xdr:row>0</xdr:row>
      <xdr:rowOff>0</xdr:rowOff>
    </xdr:from>
    <xdr:to>
      <xdr:col>7</xdr:col>
      <xdr:colOff>361950</xdr:colOff>
      <xdr:row>0</xdr:row>
      <xdr:rowOff>0</xdr:rowOff>
    </xdr:to>
    <xdr:sp>
      <xdr:nvSpPr>
        <xdr:cNvPr id="2" name="Text Box 8"/>
        <xdr:cNvSpPr txBox="1">
          <a:spLocks noChangeArrowheads="1"/>
        </xdr:cNvSpPr>
      </xdr:nvSpPr>
      <xdr:spPr>
        <a:xfrm>
          <a:off x="1714500" y="0"/>
          <a:ext cx="2924175" cy="0"/>
        </a:xfrm>
        <a:prstGeom prst="rect">
          <a:avLst/>
        </a:prstGeom>
        <a:solidFill>
          <a:srgbClr val="FFFFCC"/>
        </a:solidFill>
        <a:ln w="9525" cmpd="sng">
          <a:solidFill>
            <a:srgbClr val="000000"/>
          </a:solidFill>
          <a:headEnd type="none"/>
          <a:tailEnd type="none"/>
        </a:ln>
      </xdr:spPr>
      <xdr:txBody>
        <a:bodyPr vertOverflow="clip" wrap="square" lIns="45720" tIns="41148" rIns="45720" bIns="0"/>
        <a:p>
          <a:pPr algn="ctr">
            <a:defRPr/>
          </a:pPr>
          <a:r>
            <a:rPr lang="en-US" cap="none" sz="1100" b="0" i="0" u="none" baseline="0">
              <a:solidFill>
                <a:srgbClr val="000000"/>
              </a:solidFill>
              <a:latin typeface="Calibri"/>
              <a:ea typeface="Calibri"/>
              <a:cs typeface="Calibri"/>
            </a:rPr>
            <a:t>seulement si on passe du temps à extraire des fichiers du RNA !
</a:t>
          </a:r>
          <a:r>
            <a:rPr lang="en-US" cap="none" sz="1100" b="0" i="0" u="none" baseline="0">
              <a:solidFill>
                <a:srgbClr val="000000"/>
              </a:solidFill>
              <a:latin typeface="Calibri"/>
              <a:ea typeface="Calibri"/>
              <a:cs typeface="Calibri"/>
            </a:rPr>
            <a:t>voir quelles personnes peuvent s'en charger</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7</xdr:col>
      <xdr:colOff>361950</xdr:colOff>
      <xdr:row>0</xdr:row>
      <xdr:rowOff>0</xdr:rowOff>
    </xdr:to>
    <xdr:sp>
      <xdr:nvSpPr>
        <xdr:cNvPr id="1" name="Text Box 1"/>
        <xdr:cNvSpPr txBox="1">
          <a:spLocks noChangeArrowheads="1"/>
        </xdr:cNvSpPr>
      </xdr:nvSpPr>
      <xdr:spPr>
        <a:xfrm>
          <a:off x="1714500" y="0"/>
          <a:ext cx="2924175" cy="0"/>
        </a:xfrm>
        <a:prstGeom prst="rect">
          <a:avLst/>
        </a:prstGeom>
        <a:solidFill>
          <a:srgbClr val="FFFFCC"/>
        </a:solidFill>
        <a:ln w="9525" cmpd="sng">
          <a:solidFill>
            <a:srgbClr val="000000"/>
          </a:solidFill>
          <a:headEnd type="none"/>
          <a:tailEnd type="none"/>
        </a:ln>
      </xdr:spPr>
      <xdr:txBody>
        <a:bodyPr vertOverflow="clip" wrap="square" lIns="45720" tIns="41148" rIns="45720" bIns="0"/>
        <a:p>
          <a:pPr algn="ctr">
            <a:defRPr/>
          </a:pPr>
          <a:r>
            <a:rPr lang="en-US" cap="none" sz="1100" b="0" i="0" u="none" baseline="0">
              <a:solidFill>
                <a:srgbClr val="000000"/>
              </a:solidFill>
              <a:latin typeface="Calibri"/>
              <a:ea typeface="Calibri"/>
              <a:cs typeface="Calibri"/>
            </a:rPr>
            <a:t>seulement si on passe du temps à extraire des fichiers du RNA !
</a:t>
          </a:r>
          <a:r>
            <a:rPr lang="en-US" cap="none" sz="1100" b="0" i="0" u="none" baseline="0">
              <a:solidFill>
                <a:srgbClr val="000000"/>
              </a:solidFill>
              <a:latin typeface="Calibri"/>
              <a:ea typeface="Calibri"/>
              <a:cs typeface="Calibri"/>
            </a:rPr>
            <a:t>voir quelles personnes peuvent s'en charger</a:t>
          </a:r>
        </a:p>
      </xdr:txBody>
    </xdr:sp>
    <xdr:clientData/>
  </xdr:twoCellAnchor>
  <xdr:twoCellAnchor>
    <xdr:from>
      <xdr:col>1</xdr:col>
      <xdr:colOff>0</xdr:colOff>
      <xdr:row>0</xdr:row>
      <xdr:rowOff>0</xdr:rowOff>
    </xdr:from>
    <xdr:to>
      <xdr:col>7</xdr:col>
      <xdr:colOff>361950</xdr:colOff>
      <xdr:row>0</xdr:row>
      <xdr:rowOff>0</xdr:rowOff>
    </xdr:to>
    <xdr:sp>
      <xdr:nvSpPr>
        <xdr:cNvPr id="2" name="Text Box 8"/>
        <xdr:cNvSpPr txBox="1">
          <a:spLocks noChangeArrowheads="1"/>
        </xdr:cNvSpPr>
      </xdr:nvSpPr>
      <xdr:spPr>
        <a:xfrm>
          <a:off x="1714500" y="0"/>
          <a:ext cx="2924175" cy="0"/>
        </a:xfrm>
        <a:prstGeom prst="rect">
          <a:avLst/>
        </a:prstGeom>
        <a:solidFill>
          <a:srgbClr val="FFFFCC"/>
        </a:solidFill>
        <a:ln w="9525" cmpd="sng">
          <a:solidFill>
            <a:srgbClr val="000000"/>
          </a:solidFill>
          <a:headEnd type="none"/>
          <a:tailEnd type="none"/>
        </a:ln>
      </xdr:spPr>
      <xdr:txBody>
        <a:bodyPr vertOverflow="clip" wrap="square" lIns="45720" tIns="41148" rIns="45720" bIns="0"/>
        <a:p>
          <a:pPr algn="ctr">
            <a:defRPr/>
          </a:pPr>
          <a:r>
            <a:rPr lang="en-US" cap="none" sz="1100" b="0" i="0" u="none" baseline="0">
              <a:solidFill>
                <a:srgbClr val="000000"/>
              </a:solidFill>
              <a:latin typeface="Calibri"/>
              <a:ea typeface="Calibri"/>
              <a:cs typeface="Calibri"/>
            </a:rPr>
            <a:t>seulement si on passe du temps à extraire des fichiers du RNA !
</a:t>
          </a:r>
          <a:r>
            <a:rPr lang="en-US" cap="none" sz="1100" b="0" i="0" u="none" baseline="0">
              <a:solidFill>
                <a:srgbClr val="000000"/>
              </a:solidFill>
              <a:latin typeface="Calibri"/>
              <a:ea typeface="Calibri"/>
              <a:cs typeface="Calibri"/>
            </a:rPr>
            <a:t>voir quelles personnes peuvent s'en charger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7</xdr:col>
      <xdr:colOff>361950</xdr:colOff>
      <xdr:row>0</xdr:row>
      <xdr:rowOff>0</xdr:rowOff>
    </xdr:to>
    <xdr:sp>
      <xdr:nvSpPr>
        <xdr:cNvPr id="1" name="Text Box 1"/>
        <xdr:cNvSpPr txBox="1">
          <a:spLocks noChangeArrowheads="1"/>
        </xdr:cNvSpPr>
      </xdr:nvSpPr>
      <xdr:spPr>
        <a:xfrm>
          <a:off x="1714500" y="0"/>
          <a:ext cx="2924175" cy="0"/>
        </a:xfrm>
        <a:prstGeom prst="rect">
          <a:avLst/>
        </a:prstGeom>
        <a:solidFill>
          <a:srgbClr val="FFFFCC"/>
        </a:solidFill>
        <a:ln w="9525" cmpd="sng">
          <a:solidFill>
            <a:srgbClr val="000000"/>
          </a:solidFill>
          <a:headEnd type="none"/>
          <a:tailEnd type="none"/>
        </a:ln>
      </xdr:spPr>
      <xdr:txBody>
        <a:bodyPr vertOverflow="clip" wrap="square" lIns="45720" tIns="41148" rIns="45720" bIns="0"/>
        <a:p>
          <a:pPr algn="ctr">
            <a:defRPr/>
          </a:pPr>
          <a:r>
            <a:rPr lang="en-US" cap="none" sz="1100" b="0" i="0" u="none" baseline="0">
              <a:solidFill>
                <a:srgbClr val="000000"/>
              </a:solidFill>
              <a:latin typeface="Calibri"/>
              <a:ea typeface="Calibri"/>
              <a:cs typeface="Calibri"/>
            </a:rPr>
            <a:t>seulement si on passe du temps à extraire des fichiers du RNA !
</a:t>
          </a:r>
          <a:r>
            <a:rPr lang="en-US" cap="none" sz="1100" b="0" i="0" u="none" baseline="0">
              <a:solidFill>
                <a:srgbClr val="000000"/>
              </a:solidFill>
              <a:latin typeface="Calibri"/>
              <a:ea typeface="Calibri"/>
              <a:cs typeface="Calibri"/>
            </a:rPr>
            <a:t>voir quelles personnes peuvent s'en charger</a:t>
          </a:r>
        </a:p>
      </xdr:txBody>
    </xdr:sp>
    <xdr:clientData/>
  </xdr:twoCellAnchor>
  <xdr:twoCellAnchor>
    <xdr:from>
      <xdr:col>1</xdr:col>
      <xdr:colOff>0</xdr:colOff>
      <xdr:row>0</xdr:row>
      <xdr:rowOff>0</xdr:rowOff>
    </xdr:from>
    <xdr:to>
      <xdr:col>7</xdr:col>
      <xdr:colOff>361950</xdr:colOff>
      <xdr:row>0</xdr:row>
      <xdr:rowOff>0</xdr:rowOff>
    </xdr:to>
    <xdr:sp>
      <xdr:nvSpPr>
        <xdr:cNvPr id="2" name="Text Box 8"/>
        <xdr:cNvSpPr txBox="1">
          <a:spLocks noChangeArrowheads="1"/>
        </xdr:cNvSpPr>
      </xdr:nvSpPr>
      <xdr:spPr>
        <a:xfrm>
          <a:off x="1714500" y="0"/>
          <a:ext cx="2924175" cy="0"/>
        </a:xfrm>
        <a:prstGeom prst="rect">
          <a:avLst/>
        </a:prstGeom>
        <a:solidFill>
          <a:srgbClr val="FFFFCC"/>
        </a:solidFill>
        <a:ln w="9525" cmpd="sng">
          <a:solidFill>
            <a:srgbClr val="000000"/>
          </a:solidFill>
          <a:headEnd type="none"/>
          <a:tailEnd type="none"/>
        </a:ln>
      </xdr:spPr>
      <xdr:txBody>
        <a:bodyPr vertOverflow="clip" wrap="square" lIns="45720" tIns="41148" rIns="45720" bIns="0"/>
        <a:p>
          <a:pPr algn="ctr">
            <a:defRPr/>
          </a:pPr>
          <a:r>
            <a:rPr lang="en-US" cap="none" sz="1100" b="0" i="0" u="none" baseline="0">
              <a:solidFill>
                <a:srgbClr val="000000"/>
              </a:solidFill>
              <a:latin typeface="Calibri"/>
              <a:ea typeface="Calibri"/>
              <a:cs typeface="Calibri"/>
            </a:rPr>
            <a:t>seulement si on passe du temps à extraire des fichiers du RNA !
</a:t>
          </a:r>
          <a:r>
            <a:rPr lang="en-US" cap="none" sz="1100" b="0" i="0" u="none" baseline="0">
              <a:solidFill>
                <a:srgbClr val="000000"/>
              </a:solidFill>
              <a:latin typeface="Calibri"/>
              <a:ea typeface="Calibri"/>
              <a:cs typeface="Calibri"/>
            </a:rPr>
            <a:t>voir quelles personnes peuvent s'en charger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7</xdr:col>
      <xdr:colOff>361950</xdr:colOff>
      <xdr:row>0</xdr:row>
      <xdr:rowOff>0</xdr:rowOff>
    </xdr:to>
    <xdr:sp>
      <xdr:nvSpPr>
        <xdr:cNvPr id="1" name="Text Box 1"/>
        <xdr:cNvSpPr txBox="1">
          <a:spLocks noChangeArrowheads="1"/>
        </xdr:cNvSpPr>
      </xdr:nvSpPr>
      <xdr:spPr>
        <a:xfrm>
          <a:off x="1714500" y="0"/>
          <a:ext cx="2924175" cy="0"/>
        </a:xfrm>
        <a:prstGeom prst="rect">
          <a:avLst/>
        </a:prstGeom>
        <a:solidFill>
          <a:srgbClr val="FFFFCC"/>
        </a:solidFill>
        <a:ln w="9525" cmpd="sng">
          <a:solidFill>
            <a:srgbClr val="000000"/>
          </a:solidFill>
          <a:headEnd type="none"/>
          <a:tailEnd type="none"/>
        </a:ln>
      </xdr:spPr>
      <xdr:txBody>
        <a:bodyPr vertOverflow="clip" wrap="square" lIns="45720" tIns="41148" rIns="45720" bIns="0"/>
        <a:p>
          <a:pPr algn="ctr">
            <a:defRPr/>
          </a:pPr>
          <a:r>
            <a:rPr lang="en-US" cap="none" sz="1100" b="0" i="0" u="none" baseline="0">
              <a:solidFill>
                <a:srgbClr val="000000"/>
              </a:solidFill>
              <a:latin typeface="Calibri"/>
              <a:ea typeface="Calibri"/>
              <a:cs typeface="Calibri"/>
            </a:rPr>
            <a:t>seulement si on passe du temps à extraire des fichiers du RNA !
</a:t>
          </a:r>
          <a:r>
            <a:rPr lang="en-US" cap="none" sz="1100" b="0" i="0" u="none" baseline="0">
              <a:solidFill>
                <a:srgbClr val="000000"/>
              </a:solidFill>
              <a:latin typeface="Calibri"/>
              <a:ea typeface="Calibri"/>
              <a:cs typeface="Calibri"/>
            </a:rPr>
            <a:t>voir quelles personnes peuvent s'en charger</a:t>
          </a:r>
        </a:p>
      </xdr:txBody>
    </xdr:sp>
    <xdr:clientData/>
  </xdr:twoCellAnchor>
  <xdr:twoCellAnchor>
    <xdr:from>
      <xdr:col>1</xdr:col>
      <xdr:colOff>0</xdr:colOff>
      <xdr:row>0</xdr:row>
      <xdr:rowOff>0</xdr:rowOff>
    </xdr:from>
    <xdr:to>
      <xdr:col>7</xdr:col>
      <xdr:colOff>361950</xdr:colOff>
      <xdr:row>0</xdr:row>
      <xdr:rowOff>0</xdr:rowOff>
    </xdr:to>
    <xdr:sp>
      <xdr:nvSpPr>
        <xdr:cNvPr id="2" name="Text Box 8"/>
        <xdr:cNvSpPr txBox="1">
          <a:spLocks noChangeArrowheads="1"/>
        </xdr:cNvSpPr>
      </xdr:nvSpPr>
      <xdr:spPr>
        <a:xfrm>
          <a:off x="1714500" y="0"/>
          <a:ext cx="2924175" cy="0"/>
        </a:xfrm>
        <a:prstGeom prst="rect">
          <a:avLst/>
        </a:prstGeom>
        <a:solidFill>
          <a:srgbClr val="FFFFCC"/>
        </a:solidFill>
        <a:ln w="9525" cmpd="sng">
          <a:solidFill>
            <a:srgbClr val="000000"/>
          </a:solidFill>
          <a:headEnd type="none"/>
          <a:tailEnd type="none"/>
        </a:ln>
      </xdr:spPr>
      <xdr:txBody>
        <a:bodyPr vertOverflow="clip" wrap="square" lIns="45720" tIns="41148" rIns="45720" bIns="0"/>
        <a:p>
          <a:pPr algn="ctr">
            <a:defRPr/>
          </a:pPr>
          <a:r>
            <a:rPr lang="en-US" cap="none" sz="1100" b="0" i="0" u="none" baseline="0">
              <a:solidFill>
                <a:srgbClr val="000000"/>
              </a:solidFill>
              <a:latin typeface="Calibri"/>
              <a:ea typeface="Calibri"/>
              <a:cs typeface="Calibri"/>
            </a:rPr>
            <a:t>seulement si on passe du temps à extraire des fichiers du RNA !
</a:t>
          </a:r>
          <a:r>
            <a:rPr lang="en-US" cap="none" sz="1100" b="0" i="0" u="none" baseline="0">
              <a:solidFill>
                <a:srgbClr val="000000"/>
              </a:solidFill>
              <a:latin typeface="Calibri"/>
              <a:ea typeface="Calibri"/>
              <a:cs typeface="Calibri"/>
            </a:rPr>
            <a:t>voir quelles personnes peuvent s'en charger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4</xdr:row>
      <xdr:rowOff>123825</xdr:rowOff>
    </xdr:from>
    <xdr:to>
      <xdr:col>0</xdr:col>
      <xdr:colOff>819150</xdr:colOff>
      <xdr:row>8</xdr:row>
      <xdr:rowOff>76200</xdr:rowOff>
    </xdr:to>
    <xdr:pic>
      <xdr:nvPicPr>
        <xdr:cNvPr id="1" name="Image 5" descr="finess.png"/>
        <xdr:cNvPicPr preferRelativeResize="1">
          <a:picLocks noChangeAspect="1"/>
        </xdr:cNvPicPr>
      </xdr:nvPicPr>
      <xdr:blipFill>
        <a:blip r:embed="rId1"/>
        <a:stretch>
          <a:fillRect/>
        </a:stretch>
      </xdr:blipFill>
      <xdr:spPr>
        <a:xfrm>
          <a:off x="104775" y="885825"/>
          <a:ext cx="714375" cy="714375"/>
        </a:xfrm>
        <a:prstGeom prst="rect">
          <a:avLst/>
        </a:prstGeom>
        <a:noFill/>
        <a:ln w="9525" cmpd="sng">
          <a:noFill/>
        </a:ln>
      </xdr:spPr>
    </xdr:pic>
    <xdr:clientData/>
  </xdr:twoCellAnchor>
  <xdr:twoCellAnchor editAs="oneCell">
    <xdr:from>
      <xdr:col>0</xdr:col>
      <xdr:colOff>133350</xdr:colOff>
      <xdr:row>10</xdr:row>
      <xdr:rowOff>9525</xdr:rowOff>
    </xdr:from>
    <xdr:to>
      <xdr:col>0</xdr:col>
      <xdr:colOff>819150</xdr:colOff>
      <xdr:row>13</xdr:row>
      <xdr:rowOff>123825</xdr:rowOff>
    </xdr:to>
    <xdr:pic>
      <xdr:nvPicPr>
        <xdr:cNvPr id="2" name="Image 6" descr="res.png"/>
        <xdr:cNvPicPr preferRelativeResize="1">
          <a:picLocks noChangeAspect="1"/>
        </xdr:cNvPicPr>
      </xdr:nvPicPr>
      <xdr:blipFill>
        <a:blip r:embed="rId2"/>
        <a:stretch>
          <a:fillRect/>
        </a:stretch>
      </xdr:blipFill>
      <xdr:spPr>
        <a:xfrm>
          <a:off x="133350" y="1914525"/>
          <a:ext cx="685800" cy="6858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47625</xdr:rowOff>
    </xdr:from>
    <xdr:to>
      <xdr:col>0</xdr:col>
      <xdr:colOff>7715250</xdr:colOff>
      <xdr:row>2</xdr:row>
      <xdr:rowOff>180975</xdr:rowOff>
    </xdr:to>
    <xdr:pic>
      <xdr:nvPicPr>
        <xdr:cNvPr id="1" name="Picture 1"/>
        <xdr:cNvPicPr preferRelativeResize="1">
          <a:picLocks noChangeAspect="1"/>
        </xdr:cNvPicPr>
      </xdr:nvPicPr>
      <xdr:blipFill>
        <a:blip r:embed="rId1"/>
        <a:srcRect l="495"/>
        <a:stretch>
          <a:fillRect/>
        </a:stretch>
      </xdr:blipFill>
      <xdr:spPr>
        <a:xfrm>
          <a:off x="76200" y="47625"/>
          <a:ext cx="7639050" cy="5143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30</xdr:row>
      <xdr:rowOff>133350</xdr:rowOff>
    </xdr:to>
    <xdr:pic>
      <xdr:nvPicPr>
        <xdr:cNvPr id="1" name="Picture 838"/>
        <xdr:cNvPicPr preferRelativeResize="1">
          <a:picLocks noChangeAspect="1"/>
        </xdr:cNvPicPr>
      </xdr:nvPicPr>
      <xdr:blipFill>
        <a:blip r:embed="rId1"/>
        <a:stretch>
          <a:fillRect/>
        </a:stretch>
      </xdr:blipFill>
      <xdr:spPr>
        <a:xfrm>
          <a:off x="0" y="0"/>
          <a:ext cx="9144000" cy="5895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26</xdr:row>
      <xdr:rowOff>0</xdr:rowOff>
    </xdr:from>
    <xdr:to>
      <xdr:col>1</xdr:col>
      <xdr:colOff>200025</xdr:colOff>
      <xdr:row>26</xdr:row>
      <xdr:rowOff>0</xdr:rowOff>
    </xdr:to>
    <xdr:sp fLocksText="0">
      <xdr:nvSpPr>
        <xdr:cNvPr id="1" name="Text Box 2"/>
        <xdr:cNvSpPr txBox="1">
          <a:spLocks noChangeArrowheads="1"/>
        </xdr:cNvSpPr>
      </xdr:nvSpPr>
      <xdr:spPr>
        <a:xfrm>
          <a:off x="1619250" y="2752725"/>
          <a:ext cx="1619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26</xdr:row>
      <xdr:rowOff>0</xdr:rowOff>
    </xdr:from>
    <xdr:to>
      <xdr:col>1</xdr:col>
      <xdr:colOff>200025</xdr:colOff>
      <xdr:row>26</xdr:row>
      <xdr:rowOff>0</xdr:rowOff>
    </xdr:to>
    <xdr:sp fLocksText="0">
      <xdr:nvSpPr>
        <xdr:cNvPr id="2" name="Text Box 2"/>
        <xdr:cNvSpPr txBox="1">
          <a:spLocks noChangeArrowheads="1"/>
        </xdr:cNvSpPr>
      </xdr:nvSpPr>
      <xdr:spPr>
        <a:xfrm>
          <a:off x="1619250" y="2752725"/>
          <a:ext cx="1619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26</xdr:row>
      <xdr:rowOff>0</xdr:rowOff>
    </xdr:from>
    <xdr:to>
      <xdr:col>1</xdr:col>
      <xdr:colOff>200025</xdr:colOff>
      <xdr:row>26</xdr:row>
      <xdr:rowOff>0</xdr:rowOff>
    </xdr:to>
    <xdr:sp fLocksText="0">
      <xdr:nvSpPr>
        <xdr:cNvPr id="3" name="Text Box 2"/>
        <xdr:cNvSpPr txBox="1">
          <a:spLocks noChangeArrowheads="1"/>
        </xdr:cNvSpPr>
      </xdr:nvSpPr>
      <xdr:spPr>
        <a:xfrm>
          <a:off x="1619250" y="2752725"/>
          <a:ext cx="1619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26</xdr:row>
      <xdr:rowOff>0</xdr:rowOff>
    </xdr:from>
    <xdr:to>
      <xdr:col>1</xdr:col>
      <xdr:colOff>200025</xdr:colOff>
      <xdr:row>26</xdr:row>
      <xdr:rowOff>0</xdr:rowOff>
    </xdr:to>
    <xdr:sp fLocksText="0">
      <xdr:nvSpPr>
        <xdr:cNvPr id="1" name="Text Box 2"/>
        <xdr:cNvSpPr txBox="1">
          <a:spLocks noChangeArrowheads="1"/>
        </xdr:cNvSpPr>
      </xdr:nvSpPr>
      <xdr:spPr>
        <a:xfrm>
          <a:off x="1619250" y="2752725"/>
          <a:ext cx="1619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26</xdr:row>
      <xdr:rowOff>0</xdr:rowOff>
    </xdr:from>
    <xdr:to>
      <xdr:col>1</xdr:col>
      <xdr:colOff>200025</xdr:colOff>
      <xdr:row>26</xdr:row>
      <xdr:rowOff>0</xdr:rowOff>
    </xdr:to>
    <xdr:sp fLocksText="0">
      <xdr:nvSpPr>
        <xdr:cNvPr id="2" name="Text Box 2"/>
        <xdr:cNvSpPr txBox="1">
          <a:spLocks noChangeArrowheads="1"/>
        </xdr:cNvSpPr>
      </xdr:nvSpPr>
      <xdr:spPr>
        <a:xfrm>
          <a:off x="1619250" y="2752725"/>
          <a:ext cx="1619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26</xdr:row>
      <xdr:rowOff>0</xdr:rowOff>
    </xdr:from>
    <xdr:to>
      <xdr:col>1</xdr:col>
      <xdr:colOff>200025</xdr:colOff>
      <xdr:row>26</xdr:row>
      <xdr:rowOff>0</xdr:rowOff>
    </xdr:to>
    <xdr:sp fLocksText="0">
      <xdr:nvSpPr>
        <xdr:cNvPr id="3" name="Text Box 2"/>
        <xdr:cNvSpPr txBox="1">
          <a:spLocks noChangeArrowheads="1"/>
        </xdr:cNvSpPr>
      </xdr:nvSpPr>
      <xdr:spPr>
        <a:xfrm>
          <a:off x="1619250" y="2752725"/>
          <a:ext cx="1619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20</xdr:row>
      <xdr:rowOff>0</xdr:rowOff>
    </xdr:from>
    <xdr:to>
      <xdr:col>1</xdr:col>
      <xdr:colOff>200025</xdr:colOff>
      <xdr:row>20</xdr:row>
      <xdr:rowOff>0</xdr:rowOff>
    </xdr:to>
    <xdr:sp fLocksText="0">
      <xdr:nvSpPr>
        <xdr:cNvPr id="1" name="Text Box 2"/>
        <xdr:cNvSpPr txBox="1">
          <a:spLocks noChangeArrowheads="1"/>
        </xdr:cNvSpPr>
      </xdr:nvSpPr>
      <xdr:spPr>
        <a:xfrm>
          <a:off x="1790700" y="2181225"/>
          <a:ext cx="1619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20</xdr:row>
      <xdr:rowOff>0</xdr:rowOff>
    </xdr:from>
    <xdr:to>
      <xdr:col>1</xdr:col>
      <xdr:colOff>200025</xdr:colOff>
      <xdr:row>20</xdr:row>
      <xdr:rowOff>0</xdr:rowOff>
    </xdr:to>
    <xdr:sp fLocksText="0">
      <xdr:nvSpPr>
        <xdr:cNvPr id="2" name="Text Box 2"/>
        <xdr:cNvSpPr txBox="1">
          <a:spLocks noChangeArrowheads="1"/>
        </xdr:cNvSpPr>
      </xdr:nvSpPr>
      <xdr:spPr>
        <a:xfrm>
          <a:off x="1790700" y="2181225"/>
          <a:ext cx="1619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20</xdr:row>
      <xdr:rowOff>0</xdr:rowOff>
    </xdr:from>
    <xdr:to>
      <xdr:col>1</xdr:col>
      <xdr:colOff>200025</xdr:colOff>
      <xdr:row>20</xdr:row>
      <xdr:rowOff>0</xdr:rowOff>
    </xdr:to>
    <xdr:sp fLocksText="0">
      <xdr:nvSpPr>
        <xdr:cNvPr id="3" name="Text Box 2"/>
        <xdr:cNvSpPr txBox="1">
          <a:spLocks noChangeArrowheads="1"/>
        </xdr:cNvSpPr>
      </xdr:nvSpPr>
      <xdr:spPr>
        <a:xfrm>
          <a:off x="1790700" y="2181225"/>
          <a:ext cx="1619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0</xdr:rowOff>
    </xdr:from>
    <xdr:to>
      <xdr:col>1</xdr:col>
      <xdr:colOff>200025</xdr:colOff>
      <xdr:row>0</xdr:row>
      <xdr:rowOff>0</xdr:rowOff>
    </xdr:to>
    <xdr:sp fLocksText="0">
      <xdr:nvSpPr>
        <xdr:cNvPr id="1" name="Text Box 2"/>
        <xdr:cNvSpPr txBox="1">
          <a:spLocks noChangeArrowheads="1"/>
        </xdr:cNvSpPr>
      </xdr:nvSpPr>
      <xdr:spPr>
        <a:xfrm>
          <a:off x="1790700" y="0"/>
          <a:ext cx="1619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0</xdr:row>
      <xdr:rowOff>0</xdr:rowOff>
    </xdr:from>
    <xdr:to>
      <xdr:col>1</xdr:col>
      <xdr:colOff>200025</xdr:colOff>
      <xdr:row>0</xdr:row>
      <xdr:rowOff>0</xdr:rowOff>
    </xdr:to>
    <xdr:sp fLocksText="0">
      <xdr:nvSpPr>
        <xdr:cNvPr id="2" name="Text Box 2"/>
        <xdr:cNvSpPr txBox="1">
          <a:spLocks noChangeArrowheads="1"/>
        </xdr:cNvSpPr>
      </xdr:nvSpPr>
      <xdr:spPr>
        <a:xfrm>
          <a:off x="1790700" y="0"/>
          <a:ext cx="1619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0</xdr:row>
      <xdr:rowOff>0</xdr:rowOff>
    </xdr:from>
    <xdr:to>
      <xdr:col>1</xdr:col>
      <xdr:colOff>200025</xdr:colOff>
      <xdr:row>0</xdr:row>
      <xdr:rowOff>0</xdr:rowOff>
    </xdr:to>
    <xdr:sp fLocksText="0">
      <xdr:nvSpPr>
        <xdr:cNvPr id="3" name="Text Box 2"/>
        <xdr:cNvSpPr txBox="1">
          <a:spLocks noChangeArrowheads="1"/>
        </xdr:cNvSpPr>
      </xdr:nvSpPr>
      <xdr:spPr>
        <a:xfrm>
          <a:off x="1790700" y="0"/>
          <a:ext cx="1619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0</xdr:rowOff>
    </xdr:from>
    <xdr:to>
      <xdr:col>1</xdr:col>
      <xdr:colOff>200025</xdr:colOff>
      <xdr:row>0</xdr:row>
      <xdr:rowOff>0</xdr:rowOff>
    </xdr:to>
    <xdr:sp fLocksText="0">
      <xdr:nvSpPr>
        <xdr:cNvPr id="1" name="Text Box 2"/>
        <xdr:cNvSpPr txBox="1">
          <a:spLocks noChangeArrowheads="1"/>
        </xdr:cNvSpPr>
      </xdr:nvSpPr>
      <xdr:spPr>
        <a:xfrm>
          <a:off x="1647825" y="0"/>
          <a:ext cx="1619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0</xdr:row>
      <xdr:rowOff>0</xdr:rowOff>
    </xdr:from>
    <xdr:to>
      <xdr:col>1</xdr:col>
      <xdr:colOff>200025</xdr:colOff>
      <xdr:row>0</xdr:row>
      <xdr:rowOff>0</xdr:rowOff>
    </xdr:to>
    <xdr:sp fLocksText="0">
      <xdr:nvSpPr>
        <xdr:cNvPr id="2" name="Text Box 2"/>
        <xdr:cNvSpPr txBox="1">
          <a:spLocks noChangeArrowheads="1"/>
        </xdr:cNvSpPr>
      </xdr:nvSpPr>
      <xdr:spPr>
        <a:xfrm>
          <a:off x="1647825" y="0"/>
          <a:ext cx="1619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0</xdr:row>
      <xdr:rowOff>0</xdr:rowOff>
    </xdr:from>
    <xdr:to>
      <xdr:col>1</xdr:col>
      <xdr:colOff>200025</xdr:colOff>
      <xdr:row>0</xdr:row>
      <xdr:rowOff>0</xdr:rowOff>
    </xdr:to>
    <xdr:sp fLocksText="0">
      <xdr:nvSpPr>
        <xdr:cNvPr id="3" name="Text Box 2"/>
        <xdr:cNvSpPr txBox="1">
          <a:spLocks noChangeArrowheads="1"/>
        </xdr:cNvSpPr>
      </xdr:nvSpPr>
      <xdr:spPr>
        <a:xfrm>
          <a:off x="1647825" y="0"/>
          <a:ext cx="1619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24</xdr:row>
      <xdr:rowOff>0</xdr:rowOff>
    </xdr:from>
    <xdr:to>
      <xdr:col>1</xdr:col>
      <xdr:colOff>200025</xdr:colOff>
      <xdr:row>24</xdr:row>
      <xdr:rowOff>0</xdr:rowOff>
    </xdr:to>
    <xdr:sp fLocksText="0">
      <xdr:nvSpPr>
        <xdr:cNvPr id="1" name="Text Box 2"/>
        <xdr:cNvSpPr txBox="1">
          <a:spLocks noChangeArrowheads="1"/>
        </xdr:cNvSpPr>
      </xdr:nvSpPr>
      <xdr:spPr>
        <a:xfrm>
          <a:off x="1619250" y="2562225"/>
          <a:ext cx="1619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24</xdr:row>
      <xdr:rowOff>0</xdr:rowOff>
    </xdr:from>
    <xdr:to>
      <xdr:col>1</xdr:col>
      <xdr:colOff>200025</xdr:colOff>
      <xdr:row>24</xdr:row>
      <xdr:rowOff>0</xdr:rowOff>
    </xdr:to>
    <xdr:sp fLocksText="0">
      <xdr:nvSpPr>
        <xdr:cNvPr id="2" name="Text Box 2"/>
        <xdr:cNvSpPr txBox="1">
          <a:spLocks noChangeArrowheads="1"/>
        </xdr:cNvSpPr>
      </xdr:nvSpPr>
      <xdr:spPr>
        <a:xfrm>
          <a:off x="1619250" y="2562225"/>
          <a:ext cx="1619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24</xdr:row>
      <xdr:rowOff>0</xdr:rowOff>
    </xdr:from>
    <xdr:to>
      <xdr:col>1</xdr:col>
      <xdr:colOff>200025</xdr:colOff>
      <xdr:row>24</xdr:row>
      <xdr:rowOff>0</xdr:rowOff>
    </xdr:to>
    <xdr:sp fLocksText="0">
      <xdr:nvSpPr>
        <xdr:cNvPr id="3" name="Text Box 2"/>
        <xdr:cNvSpPr txBox="1">
          <a:spLocks noChangeArrowheads="1"/>
        </xdr:cNvSpPr>
      </xdr:nvSpPr>
      <xdr:spPr>
        <a:xfrm>
          <a:off x="1619250" y="2562225"/>
          <a:ext cx="1619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0</xdr:rowOff>
    </xdr:from>
    <xdr:to>
      <xdr:col>1</xdr:col>
      <xdr:colOff>200025</xdr:colOff>
      <xdr:row>25</xdr:row>
      <xdr:rowOff>0</xdr:rowOff>
    </xdr:to>
    <xdr:sp fLocksText="0">
      <xdr:nvSpPr>
        <xdr:cNvPr id="1" name="Text Box 2"/>
        <xdr:cNvSpPr txBox="1">
          <a:spLocks noChangeArrowheads="1"/>
        </xdr:cNvSpPr>
      </xdr:nvSpPr>
      <xdr:spPr>
        <a:xfrm>
          <a:off x="1657350" y="2667000"/>
          <a:ext cx="1619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25</xdr:row>
      <xdr:rowOff>0</xdr:rowOff>
    </xdr:from>
    <xdr:to>
      <xdr:col>1</xdr:col>
      <xdr:colOff>200025</xdr:colOff>
      <xdr:row>25</xdr:row>
      <xdr:rowOff>0</xdr:rowOff>
    </xdr:to>
    <xdr:sp fLocksText="0">
      <xdr:nvSpPr>
        <xdr:cNvPr id="2" name="Text Box 2"/>
        <xdr:cNvSpPr txBox="1">
          <a:spLocks noChangeArrowheads="1"/>
        </xdr:cNvSpPr>
      </xdr:nvSpPr>
      <xdr:spPr>
        <a:xfrm>
          <a:off x="1657350" y="2667000"/>
          <a:ext cx="1619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25</xdr:row>
      <xdr:rowOff>0</xdr:rowOff>
    </xdr:from>
    <xdr:to>
      <xdr:col>1</xdr:col>
      <xdr:colOff>200025</xdr:colOff>
      <xdr:row>25</xdr:row>
      <xdr:rowOff>0</xdr:rowOff>
    </xdr:to>
    <xdr:sp fLocksText="0">
      <xdr:nvSpPr>
        <xdr:cNvPr id="3" name="Text Box 2"/>
        <xdr:cNvSpPr txBox="1">
          <a:spLocks noChangeArrowheads="1"/>
        </xdr:cNvSpPr>
      </xdr:nvSpPr>
      <xdr:spPr>
        <a:xfrm>
          <a:off x="1657350" y="2667000"/>
          <a:ext cx="1619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20</xdr:row>
      <xdr:rowOff>0</xdr:rowOff>
    </xdr:from>
    <xdr:to>
      <xdr:col>1</xdr:col>
      <xdr:colOff>200025</xdr:colOff>
      <xdr:row>20</xdr:row>
      <xdr:rowOff>0</xdr:rowOff>
    </xdr:to>
    <xdr:sp fLocksText="0">
      <xdr:nvSpPr>
        <xdr:cNvPr id="1" name="Text Box 2"/>
        <xdr:cNvSpPr txBox="1">
          <a:spLocks noChangeArrowheads="1"/>
        </xdr:cNvSpPr>
      </xdr:nvSpPr>
      <xdr:spPr>
        <a:xfrm>
          <a:off x="1638300" y="2181225"/>
          <a:ext cx="1619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20</xdr:row>
      <xdr:rowOff>0</xdr:rowOff>
    </xdr:from>
    <xdr:to>
      <xdr:col>1</xdr:col>
      <xdr:colOff>200025</xdr:colOff>
      <xdr:row>20</xdr:row>
      <xdr:rowOff>0</xdr:rowOff>
    </xdr:to>
    <xdr:sp fLocksText="0">
      <xdr:nvSpPr>
        <xdr:cNvPr id="2" name="Text Box 2"/>
        <xdr:cNvSpPr txBox="1">
          <a:spLocks noChangeArrowheads="1"/>
        </xdr:cNvSpPr>
      </xdr:nvSpPr>
      <xdr:spPr>
        <a:xfrm>
          <a:off x="1638300" y="2181225"/>
          <a:ext cx="1619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20</xdr:row>
      <xdr:rowOff>0</xdr:rowOff>
    </xdr:from>
    <xdr:to>
      <xdr:col>1</xdr:col>
      <xdr:colOff>200025</xdr:colOff>
      <xdr:row>20</xdr:row>
      <xdr:rowOff>0</xdr:rowOff>
    </xdr:to>
    <xdr:sp fLocksText="0">
      <xdr:nvSpPr>
        <xdr:cNvPr id="3" name="Text Box 2"/>
        <xdr:cNvSpPr txBox="1">
          <a:spLocks noChangeArrowheads="1"/>
        </xdr:cNvSpPr>
      </xdr:nvSpPr>
      <xdr:spPr>
        <a:xfrm>
          <a:off x="1638300" y="2181225"/>
          <a:ext cx="1619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5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L19:L19"/>
  <sheetViews>
    <sheetView tabSelected="1" zoomScalePageLayoutView="0" workbookViewId="0" topLeftCell="A1">
      <selection activeCell="H31" sqref="H31"/>
    </sheetView>
  </sheetViews>
  <sheetFormatPr defaultColWidth="11.421875" defaultRowHeight="15"/>
  <sheetData>
    <row r="19" ht="15">
      <c r="L19" s="438"/>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K20"/>
  <sheetViews>
    <sheetView zoomScale="140" zoomScaleNormal="140" zoomScalePageLayoutView="0" workbookViewId="0" topLeftCell="A1">
      <selection activeCell="A1" sqref="A1:H1"/>
    </sheetView>
  </sheetViews>
  <sheetFormatPr defaultColWidth="11.421875" defaultRowHeight="9.75" customHeight="1"/>
  <cols>
    <col min="1" max="1" width="24.7109375" style="20" customWidth="1"/>
    <col min="2" max="2" width="6.7109375" style="20" customWidth="1"/>
    <col min="3" max="3" width="6.28125" style="20" bestFit="1" customWidth="1"/>
    <col min="4" max="4" width="6.421875" style="20" bestFit="1" customWidth="1"/>
    <col min="5" max="5" width="6.28125" style="20" bestFit="1" customWidth="1"/>
    <col min="6" max="6" width="6.7109375" style="20" customWidth="1"/>
    <col min="7" max="7" width="6.8515625" style="20" customWidth="1"/>
    <col min="8" max="8" width="9.57421875" style="20" bestFit="1" customWidth="1"/>
    <col min="9" max="9" width="11.421875" style="369" customWidth="1"/>
    <col min="10" max="10" width="16.28125" style="279" customWidth="1"/>
    <col min="11" max="11" width="11.421875" style="279" customWidth="1"/>
    <col min="12" max="16384" width="11.421875" style="20" customWidth="1"/>
  </cols>
  <sheetData>
    <row r="1" spans="1:10" ht="15" customHeight="1">
      <c r="A1" s="1000" t="s">
        <v>282</v>
      </c>
      <c r="B1" s="1000"/>
      <c r="C1" s="1000"/>
      <c r="D1" s="1000"/>
      <c r="E1" s="1000"/>
      <c r="F1" s="1000"/>
      <c r="G1" s="1000"/>
      <c r="H1" s="1000"/>
      <c r="I1" s="377"/>
      <c r="J1" s="281"/>
    </row>
    <row r="2" spans="1:10" ht="9.75" customHeight="1">
      <c r="A2" s="1002" t="s">
        <v>785</v>
      </c>
      <c r="B2" s="1002"/>
      <c r="C2" s="1002"/>
      <c r="D2" s="1002"/>
      <c r="E2" s="1002"/>
      <c r="F2" s="1002"/>
      <c r="G2" s="1002"/>
      <c r="H2" s="1002"/>
      <c r="I2" s="377"/>
      <c r="J2" s="281"/>
    </row>
    <row r="3" spans="1:8" ht="7.5" customHeight="1">
      <c r="A3" s="75"/>
      <c r="B3" s="82"/>
      <c r="C3" s="81"/>
      <c r="D3" s="81"/>
      <c r="E3" s="81"/>
      <c r="F3" s="81"/>
      <c r="G3" s="81"/>
      <c r="H3" s="75"/>
    </row>
    <row r="4" spans="1:8" ht="19.5" customHeight="1">
      <c r="A4" s="77"/>
      <c r="B4" s="26" t="s">
        <v>521</v>
      </c>
      <c r="C4" s="26" t="s">
        <v>522</v>
      </c>
      <c r="D4" s="26" t="s">
        <v>523</v>
      </c>
      <c r="E4" s="26" t="s">
        <v>524</v>
      </c>
      <c r="F4" s="26" t="s">
        <v>525</v>
      </c>
      <c r="G4" s="27" t="s">
        <v>532</v>
      </c>
      <c r="H4" s="78" t="s">
        <v>527</v>
      </c>
    </row>
    <row r="5" spans="1:8" ht="7.5" customHeight="1">
      <c r="A5" s="79"/>
      <c r="B5" s="26"/>
      <c r="C5" s="26"/>
      <c r="D5" s="26"/>
      <c r="E5" s="26"/>
      <c r="F5" s="26"/>
      <c r="G5" s="27"/>
      <c r="H5" s="27"/>
    </row>
    <row r="6" spans="1:8" ht="7.5" customHeight="1">
      <c r="A6" s="44" t="s">
        <v>213</v>
      </c>
      <c r="B6" s="468">
        <v>2</v>
      </c>
      <c r="C6" s="468">
        <v>3</v>
      </c>
      <c r="D6" s="468">
        <v>1</v>
      </c>
      <c r="E6" s="468">
        <v>1</v>
      </c>
      <c r="F6" s="468">
        <v>2</v>
      </c>
      <c r="G6" s="469">
        <f>SUM(B6:F6)</f>
        <v>9</v>
      </c>
      <c r="H6" s="468">
        <v>461</v>
      </c>
    </row>
    <row r="7" spans="1:8" ht="7.5" customHeight="1">
      <c r="A7" s="44" t="s">
        <v>145</v>
      </c>
      <c r="B7" s="444">
        <v>7</v>
      </c>
      <c r="C7" s="444">
        <v>4</v>
      </c>
      <c r="D7" s="444">
        <v>1</v>
      </c>
      <c r="E7" s="444">
        <v>3</v>
      </c>
      <c r="F7" s="444">
        <v>2</v>
      </c>
      <c r="G7" s="457">
        <f>SUM(B7:F7)</f>
        <v>17</v>
      </c>
      <c r="H7" s="470">
        <v>917</v>
      </c>
    </row>
    <row r="8" spans="1:8" ht="7.5" customHeight="1">
      <c r="A8" s="44" t="s">
        <v>106</v>
      </c>
      <c r="B8" s="468">
        <v>10</v>
      </c>
      <c r="C8" s="468">
        <v>10</v>
      </c>
      <c r="D8" s="468">
        <v>3</v>
      </c>
      <c r="E8" s="468">
        <v>5</v>
      </c>
      <c r="F8" s="468">
        <v>1</v>
      </c>
      <c r="G8" s="469">
        <f>SUM(B8:F8)</f>
        <v>29</v>
      </c>
      <c r="H8" s="468">
        <v>718</v>
      </c>
    </row>
    <row r="9" spans="1:8" ht="7.5" customHeight="1">
      <c r="A9" s="44"/>
      <c r="B9" s="375"/>
      <c r="C9" s="375"/>
      <c r="D9" s="375"/>
      <c r="E9" s="375"/>
      <c r="F9" s="375"/>
      <c r="G9" s="376"/>
      <c r="H9" s="375"/>
    </row>
    <row r="10" spans="1:9" ht="7.5" customHeight="1">
      <c r="A10" s="826" t="s">
        <v>896</v>
      </c>
      <c r="B10" s="828"/>
      <c r="C10" s="828"/>
      <c r="D10" s="828"/>
      <c r="E10" s="828"/>
      <c r="F10" s="828"/>
      <c r="G10" s="829"/>
      <c r="H10" s="828"/>
      <c r="I10" s="20"/>
    </row>
    <row r="11" spans="1:8" ht="7.5" customHeight="1">
      <c r="A11" s="44" t="s">
        <v>216</v>
      </c>
      <c r="B11" s="455">
        <v>84664.13461896</v>
      </c>
      <c r="C11" s="455">
        <v>68094.467921</v>
      </c>
      <c r="D11" s="455">
        <v>9405</v>
      </c>
      <c r="E11" s="455">
        <v>31639</v>
      </c>
      <c r="F11" s="455">
        <v>13800</v>
      </c>
      <c r="G11" s="457">
        <f>SUM(B11:F11)</f>
        <v>207602.60253996</v>
      </c>
      <c r="H11" s="454">
        <v>7772148.800294952</v>
      </c>
    </row>
    <row r="12" spans="1:8" ht="7.5" customHeight="1">
      <c r="A12" s="160" t="s">
        <v>65</v>
      </c>
      <c r="B12" s="472">
        <v>59756</v>
      </c>
      <c r="C12" s="472">
        <v>39300</v>
      </c>
      <c r="D12" s="472">
        <v>7591</v>
      </c>
      <c r="E12" s="472">
        <v>28355</v>
      </c>
      <c r="F12" s="472">
        <v>5660</v>
      </c>
      <c r="G12" s="457">
        <f>SUM(B12:F12)</f>
        <v>140662</v>
      </c>
      <c r="H12" s="454">
        <v>4091086</v>
      </c>
    </row>
    <row r="13" spans="1:8" ht="7.5" customHeight="1">
      <c r="A13" s="160"/>
      <c r="B13" s="472"/>
      <c r="C13" s="472"/>
      <c r="D13" s="472"/>
      <c r="E13" s="472"/>
      <c r="F13" s="472"/>
      <c r="G13" s="457"/>
      <c r="H13" s="454"/>
    </row>
    <row r="14" spans="1:9" ht="7.5" customHeight="1">
      <c r="A14" s="826" t="s">
        <v>786</v>
      </c>
      <c r="B14" s="828"/>
      <c r="C14" s="828"/>
      <c r="D14" s="828"/>
      <c r="E14" s="828"/>
      <c r="F14" s="828"/>
      <c r="G14" s="829"/>
      <c r="H14" s="828"/>
      <c r="I14" s="20"/>
    </row>
    <row r="15" spans="1:9" ht="7.5" customHeight="1">
      <c r="A15" s="44" t="s">
        <v>690</v>
      </c>
      <c r="B15" s="375">
        <v>1048190</v>
      </c>
      <c r="C15" s="375">
        <v>511633</v>
      </c>
      <c r="D15" s="375">
        <v>148725</v>
      </c>
      <c r="E15" s="375">
        <v>355775</v>
      </c>
      <c r="F15" s="375">
        <v>381153</v>
      </c>
      <c r="G15" s="30">
        <f>SUM(B15:F15)</f>
        <v>2445476</v>
      </c>
      <c r="H15" s="375">
        <v>48387303</v>
      </c>
      <c r="I15" s="701"/>
    </row>
    <row r="16" spans="1:9" ht="7.5" customHeight="1">
      <c r="A16" s="44" t="s">
        <v>843</v>
      </c>
      <c r="B16" s="186">
        <v>0.896</v>
      </c>
      <c r="C16" s="186">
        <v>0.775</v>
      </c>
      <c r="D16" s="186">
        <v>0.547</v>
      </c>
      <c r="E16" s="186">
        <v>0.801</v>
      </c>
      <c r="F16" s="186">
        <v>0.499</v>
      </c>
      <c r="G16" s="744">
        <v>0.753866938074949</v>
      </c>
      <c r="H16" s="186">
        <v>0.826</v>
      </c>
      <c r="I16" s="701"/>
    </row>
    <row r="17" spans="1:8" ht="7.5" customHeight="1" thickBot="1">
      <c r="A17" s="824"/>
      <c r="B17" s="824"/>
      <c r="C17" s="824"/>
      <c r="D17" s="824"/>
      <c r="E17" s="824"/>
      <c r="F17" s="824"/>
      <c r="G17" s="824"/>
      <c r="H17" s="825"/>
    </row>
    <row r="18" spans="1:11" s="136" customFormat="1" ht="7.5" customHeight="1">
      <c r="A18" s="22" t="s">
        <v>787</v>
      </c>
      <c r="B18" s="137"/>
      <c r="C18" s="137"/>
      <c r="D18" s="137"/>
      <c r="E18" s="137"/>
      <c r="F18" s="137"/>
      <c r="G18" s="137"/>
      <c r="H18" s="138"/>
      <c r="I18" s="370"/>
      <c r="J18" s="280"/>
      <c r="K18" s="280"/>
    </row>
    <row r="19" spans="1:11" s="136" customFormat="1" ht="7.5" customHeight="1">
      <c r="A19" s="147" t="s">
        <v>844</v>
      </c>
      <c r="B19" s="137"/>
      <c r="C19" s="137"/>
      <c r="D19" s="137"/>
      <c r="E19" s="137"/>
      <c r="F19" s="137"/>
      <c r="G19" s="137"/>
      <c r="H19" s="138"/>
      <c r="I19" s="370"/>
      <c r="J19" s="280"/>
      <c r="K19" s="280"/>
    </row>
    <row r="20" ht="7.5" customHeight="1">
      <c r="A20" s="318"/>
    </row>
    <row r="21" ht="7.5" customHeight="1"/>
    <row r="22" ht="7.5" customHeight="1"/>
    <row r="23" ht="7.5" customHeight="1"/>
    <row r="24" ht="7.5" customHeight="1"/>
    <row r="25" ht="7.5" customHeight="1"/>
    <row r="26" ht="7.5" customHeight="1"/>
    <row r="27" ht="7.5" customHeight="1"/>
    <row r="28" ht="7.5" customHeight="1"/>
    <row r="29" ht="7.5" customHeight="1"/>
    <row r="30" ht="7.5" customHeight="1"/>
    <row r="31" ht="7.5" customHeight="1"/>
    <row r="32" ht="7.5" customHeight="1"/>
    <row r="33" ht="7.5" customHeight="1"/>
    <row r="34" ht="7.5" customHeight="1"/>
    <row r="35" ht="7.5" customHeight="1"/>
  </sheetData>
  <sheetProtection/>
  <mergeCells count="2">
    <mergeCell ref="A2:H2"/>
    <mergeCell ref="A1:H1"/>
  </mergeCells>
  <printOptions/>
  <pageMargins left="0.5905511811023623" right="0.5905511811023623" top="0.7874015748031497" bottom="0.7874015748031497"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K21"/>
  <sheetViews>
    <sheetView zoomScale="140" zoomScaleNormal="140" zoomScalePageLayoutView="0" workbookViewId="0" topLeftCell="A1">
      <selection activeCell="A1" sqref="A1:H1"/>
    </sheetView>
  </sheetViews>
  <sheetFormatPr defaultColWidth="11.421875" defaultRowHeight="9.75" customHeight="1"/>
  <cols>
    <col min="1" max="1" width="23.7109375" style="72" customWidth="1"/>
    <col min="2" max="6" width="6.7109375" style="72" customWidth="1"/>
    <col min="7" max="7" width="6.8515625" style="72" customWidth="1"/>
    <col min="8" max="8" width="9.57421875" style="73" bestFit="1" customWidth="1"/>
    <col min="9" max="9" width="6.7109375" style="300" customWidth="1"/>
    <col min="10" max="10" width="34.00390625" style="282" customWidth="1"/>
    <col min="11" max="11" width="24.140625" style="282" customWidth="1"/>
    <col min="12" max="12" width="11.421875" style="282" customWidth="1"/>
    <col min="13" max="16384" width="11.421875" style="72" customWidth="1"/>
  </cols>
  <sheetData>
    <row r="1" spans="1:10" ht="15" customHeight="1">
      <c r="A1" s="1000" t="s">
        <v>215</v>
      </c>
      <c r="B1" s="1000"/>
      <c r="C1" s="1000"/>
      <c r="D1" s="1000"/>
      <c r="E1" s="1000"/>
      <c r="F1" s="1000"/>
      <c r="G1" s="1000"/>
      <c r="H1" s="1000"/>
      <c r="I1" s="301"/>
      <c r="J1" s="285"/>
    </row>
    <row r="2" spans="1:10" ht="9.75" customHeight="1">
      <c r="A2" s="1002" t="s">
        <v>442</v>
      </c>
      <c r="B2" s="1002"/>
      <c r="C2" s="1002"/>
      <c r="D2" s="1002"/>
      <c r="E2" s="1002"/>
      <c r="F2" s="1002"/>
      <c r="G2" s="1002"/>
      <c r="H2" s="1002"/>
      <c r="I2" s="301"/>
      <c r="J2" s="285"/>
    </row>
    <row r="3" spans="1:11" ht="7.5" customHeight="1">
      <c r="A3" s="79"/>
      <c r="B3" s="26"/>
      <c r="C3" s="26"/>
      <c r="D3" s="26"/>
      <c r="E3" s="26"/>
      <c r="F3" s="26"/>
      <c r="G3" s="27"/>
      <c r="H3" s="27"/>
      <c r="I3" s="302"/>
      <c r="J3" s="288"/>
      <c r="K3" s="288"/>
    </row>
    <row r="4" spans="1:11" ht="19.5" customHeight="1">
      <c r="A4" s="77"/>
      <c r="B4" s="26" t="s">
        <v>521</v>
      </c>
      <c r="C4" s="26" t="s">
        <v>531</v>
      </c>
      <c r="D4" s="26" t="s">
        <v>523</v>
      </c>
      <c r="E4" s="26" t="s">
        <v>524</v>
      </c>
      <c r="F4" s="26" t="s">
        <v>525</v>
      </c>
      <c r="G4" s="27" t="s">
        <v>532</v>
      </c>
      <c r="H4" s="78" t="s">
        <v>527</v>
      </c>
      <c r="I4" s="304"/>
      <c r="J4" s="287"/>
      <c r="K4" s="287"/>
    </row>
    <row r="5" spans="1:11" ht="7.5" customHeight="1">
      <c r="A5" s="79"/>
      <c r="B5" s="26"/>
      <c r="C5" s="26"/>
      <c r="D5" s="26"/>
      <c r="E5" s="26"/>
      <c r="F5" s="26"/>
      <c r="G5" s="27"/>
      <c r="H5" s="27"/>
      <c r="I5" s="302"/>
      <c r="J5" s="288"/>
      <c r="K5" s="288"/>
    </row>
    <row r="6" spans="1:8" ht="7.5" customHeight="1">
      <c r="A6" s="830" t="s">
        <v>434</v>
      </c>
      <c r="B6" s="831"/>
      <c r="C6" s="830"/>
      <c r="D6" s="832"/>
      <c r="E6" s="832"/>
      <c r="F6" s="830"/>
      <c r="G6" s="830"/>
      <c r="H6" s="830"/>
    </row>
    <row r="7" spans="1:8" ht="7.5" customHeight="1">
      <c r="A7" s="72" t="s">
        <v>432</v>
      </c>
      <c r="B7" s="455">
        <v>29574</v>
      </c>
      <c r="C7" s="455">
        <v>28665</v>
      </c>
      <c r="D7" s="455">
        <v>27924</v>
      </c>
      <c r="E7" s="455">
        <v>28112</v>
      </c>
      <c r="F7" s="455">
        <v>28872</v>
      </c>
      <c r="G7" s="457">
        <v>28864</v>
      </c>
      <c r="H7" s="517">
        <v>29065</v>
      </c>
    </row>
    <row r="8" spans="1:8" ht="7.5" customHeight="1">
      <c r="A8" s="72" t="s">
        <v>380</v>
      </c>
      <c r="B8" s="479">
        <v>13267</v>
      </c>
      <c r="C8" s="479">
        <v>13178</v>
      </c>
      <c r="D8" s="479">
        <v>12864</v>
      </c>
      <c r="E8" s="479">
        <v>13094</v>
      </c>
      <c r="F8" s="479">
        <v>13409</v>
      </c>
      <c r="G8" s="548">
        <v>13206</v>
      </c>
      <c r="H8" s="550">
        <v>12942</v>
      </c>
    </row>
    <row r="9" spans="1:8" ht="7.5" customHeight="1">
      <c r="A9" s="72" t="s">
        <v>381</v>
      </c>
      <c r="B9" s="479">
        <v>61127</v>
      </c>
      <c r="C9" s="479">
        <v>56949</v>
      </c>
      <c r="D9" s="479">
        <v>54969</v>
      </c>
      <c r="E9" s="479">
        <v>55237</v>
      </c>
      <c r="F9" s="479">
        <v>55205</v>
      </c>
      <c r="G9" s="548">
        <v>57718</v>
      </c>
      <c r="H9" s="550">
        <v>62532</v>
      </c>
    </row>
    <row r="10" spans="1:9" ht="7.5" customHeight="1">
      <c r="A10" s="72" t="s">
        <v>428</v>
      </c>
      <c r="B10" s="540">
        <v>4.60745</v>
      </c>
      <c r="C10" s="540">
        <v>4.32152</v>
      </c>
      <c r="D10" s="540">
        <v>4.27309</v>
      </c>
      <c r="E10" s="540">
        <v>4.2185</v>
      </c>
      <c r="F10" s="540">
        <v>4.11701</v>
      </c>
      <c r="G10" s="547">
        <v>4.37059</v>
      </c>
      <c r="H10" s="542">
        <v>4.83171</v>
      </c>
      <c r="I10" s="740"/>
    </row>
    <row r="11" spans="2:8" ht="7.5" customHeight="1">
      <c r="B11" s="543"/>
      <c r="C11" s="543"/>
      <c r="D11" s="543"/>
      <c r="E11" s="543"/>
      <c r="F11" s="543"/>
      <c r="G11" s="544"/>
      <c r="H11" s="545"/>
    </row>
    <row r="12" spans="1:8" ht="7.5" customHeight="1">
      <c r="A12" s="830" t="s">
        <v>429</v>
      </c>
      <c r="B12" s="833"/>
      <c r="C12" s="834"/>
      <c r="D12" s="835"/>
      <c r="E12" s="835"/>
      <c r="F12" s="834"/>
      <c r="G12" s="836"/>
      <c r="H12" s="834"/>
    </row>
    <row r="13" spans="1:10" ht="7.5" customHeight="1">
      <c r="A13" s="72" t="s">
        <v>436</v>
      </c>
      <c r="B13" s="541">
        <v>19660</v>
      </c>
      <c r="C13" s="541">
        <v>18487</v>
      </c>
      <c r="D13" s="541">
        <v>18239</v>
      </c>
      <c r="E13" s="541">
        <v>18611</v>
      </c>
      <c r="F13" s="541">
        <v>18658</v>
      </c>
      <c r="G13" s="511">
        <v>18913</v>
      </c>
      <c r="H13" s="546">
        <v>19271</v>
      </c>
      <c r="J13" s="300"/>
    </row>
    <row r="14" spans="1:10" ht="7.5" customHeight="1">
      <c r="A14" s="25" t="s">
        <v>431</v>
      </c>
      <c r="B14" s="545">
        <v>3.06449</v>
      </c>
      <c r="C14" s="545">
        <v>2.91244</v>
      </c>
      <c r="D14" s="545">
        <v>2.81667</v>
      </c>
      <c r="E14" s="545">
        <v>2.94117</v>
      </c>
      <c r="F14" s="545">
        <v>2.80266</v>
      </c>
      <c r="G14" s="549">
        <v>2.95212</v>
      </c>
      <c r="H14" s="551">
        <v>3.47908</v>
      </c>
      <c r="J14" s="300"/>
    </row>
    <row r="15" spans="1:8" ht="7.5" customHeight="1" thickBot="1">
      <c r="A15" s="837"/>
      <c r="B15" s="838"/>
      <c r="C15" s="837"/>
      <c r="D15" s="839"/>
      <c r="E15" s="839"/>
      <c r="F15" s="837"/>
      <c r="G15" s="837"/>
      <c r="H15" s="837"/>
    </row>
    <row r="16" spans="1:8" ht="7.5" customHeight="1">
      <c r="A16" s="72" t="s">
        <v>699</v>
      </c>
      <c r="D16" s="210"/>
      <c r="E16" s="210"/>
      <c r="H16" s="72"/>
    </row>
    <row r="17" spans="1:8" ht="7.5" customHeight="1">
      <c r="A17" s="325" t="s">
        <v>433</v>
      </c>
      <c r="H17" s="72"/>
    </row>
    <row r="18" spans="1:9" ht="7.5" customHeight="1">
      <c r="A18" s="320" t="s">
        <v>427</v>
      </c>
      <c r="I18" s="282"/>
    </row>
    <row r="19" spans="1:9" ht="7.5" customHeight="1">
      <c r="A19" s="320" t="s">
        <v>541</v>
      </c>
      <c r="I19" s="282"/>
    </row>
    <row r="20" spans="1:8" ht="7.5" customHeight="1">
      <c r="A20" s="539" t="s">
        <v>430</v>
      </c>
      <c r="H20" s="72"/>
    </row>
    <row r="21" spans="1:8" ht="7.5" customHeight="1">
      <c r="A21" s="426" t="s">
        <v>435</v>
      </c>
      <c r="H21" s="72"/>
    </row>
    <row r="23" ht="7.5" customHeight="1"/>
    <row r="24" ht="7.5" customHeight="1"/>
  </sheetData>
  <sheetProtection/>
  <mergeCells count="2">
    <mergeCell ref="A1:H1"/>
    <mergeCell ref="A2:H2"/>
  </mergeCells>
  <printOptions/>
  <pageMargins left="0.5905511811023623" right="0.5905511811023623" top="0.7874015748031497" bottom="0.7874015748031497"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L30"/>
  <sheetViews>
    <sheetView zoomScale="140" zoomScaleNormal="140" zoomScalePageLayoutView="0" workbookViewId="0" topLeftCell="A1">
      <selection activeCell="A1" sqref="A1:H1"/>
    </sheetView>
  </sheetViews>
  <sheetFormatPr defaultColWidth="11.421875" defaultRowHeight="9.75" customHeight="1"/>
  <cols>
    <col min="1" max="1" width="23.7109375" style="72" customWidth="1"/>
    <col min="2" max="6" width="6.7109375" style="72" customWidth="1"/>
    <col min="7" max="7" width="6.8515625" style="72" customWidth="1"/>
    <col min="8" max="8" width="9.7109375" style="73" bestFit="1" customWidth="1"/>
    <col min="9" max="10" width="7.28125" style="282" customWidth="1"/>
    <col min="11" max="11" width="23.57421875" style="282" customWidth="1"/>
    <col min="12" max="12" width="11.421875" style="282" customWidth="1"/>
    <col min="13" max="16384" width="11.421875" style="72" customWidth="1"/>
  </cols>
  <sheetData>
    <row r="1" spans="1:8" ht="15" customHeight="1">
      <c r="A1" s="999" t="s">
        <v>109</v>
      </c>
      <c r="B1" s="999"/>
      <c r="C1" s="999"/>
      <c r="D1" s="999"/>
      <c r="E1" s="999"/>
      <c r="F1" s="999"/>
      <c r="G1" s="999"/>
      <c r="H1" s="999"/>
    </row>
    <row r="2" spans="1:8" ht="9.75" customHeight="1">
      <c r="A2" s="1009" t="s">
        <v>763</v>
      </c>
      <c r="B2" s="1009"/>
      <c r="C2" s="1009"/>
      <c r="D2" s="1009"/>
      <c r="E2" s="1009"/>
      <c r="F2" s="1009"/>
      <c r="G2" s="1009"/>
      <c r="H2" s="1009"/>
    </row>
    <row r="3" spans="1:2" ht="7.5" customHeight="1">
      <c r="A3" s="75"/>
      <c r="B3" s="76"/>
    </row>
    <row r="4" spans="1:8" ht="19.5" customHeight="1">
      <c r="A4" s="77"/>
      <c r="B4" s="26" t="s">
        <v>521</v>
      </c>
      <c r="C4" s="26" t="s">
        <v>522</v>
      </c>
      <c r="D4" s="26" t="s">
        <v>523</v>
      </c>
      <c r="E4" s="26" t="s">
        <v>524</v>
      </c>
      <c r="F4" s="26" t="s">
        <v>525</v>
      </c>
      <c r="G4" s="27" t="s">
        <v>526</v>
      </c>
      <c r="H4" s="107" t="s">
        <v>535</v>
      </c>
    </row>
    <row r="5" spans="1:8" ht="7.5" customHeight="1">
      <c r="A5" s="79"/>
      <c r="B5" s="26"/>
      <c r="C5" s="26"/>
      <c r="D5" s="26"/>
      <c r="E5" s="26"/>
      <c r="F5" s="26"/>
      <c r="G5" s="27"/>
      <c r="H5" s="27"/>
    </row>
    <row r="6" spans="1:10" ht="7.5" customHeight="1">
      <c r="A6" s="836" t="s">
        <v>930</v>
      </c>
      <c r="B6" s="840">
        <v>0.107</v>
      </c>
      <c r="C6" s="840">
        <v>0.121</v>
      </c>
      <c r="D6" s="840">
        <v>0.122</v>
      </c>
      <c r="E6" s="840">
        <v>0.131</v>
      </c>
      <c r="F6" s="840">
        <v>0.11</v>
      </c>
      <c r="G6" s="841">
        <v>0.116</v>
      </c>
      <c r="H6" s="840">
        <v>0.143</v>
      </c>
      <c r="J6" s="383"/>
    </row>
    <row r="7" spans="1:10" ht="7.5" customHeight="1">
      <c r="A7" s="15" t="s">
        <v>172</v>
      </c>
      <c r="B7" s="723">
        <v>0.141976</v>
      </c>
      <c r="C7" s="723">
        <v>0.169003</v>
      </c>
      <c r="D7" s="723">
        <v>0.166441</v>
      </c>
      <c r="E7" s="723">
        <v>0.195835</v>
      </c>
      <c r="F7" s="723">
        <v>0.149515</v>
      </c>
      <c r="G7" s="724">
        <v>0.159629</v>
      </c>
      <c r="H7" s="723">
        <v>0.205091</v>
      </c>
      <c r="J7" s="383"/>
    </row>
    <row r="8" spans="1:10" ht="7.5" customHeight="1">
      <c r="A8" s="15" t="s">
        <v>630</v>
      </c>
      <c r="B8" s="723">
        <v>0.076311</v>
      </c>
      <c r="C8" s="723">
        <v>0.080583</v>
      </c>
      <c r="D8" s="723">
        <v>0.107394</v>
      </c>
      <c r="E8" s="723">
        <v>0.072465</v>
      </c>
      <c r="F8" s="723">
        <v>0.097549</v>
      </c>
      <c r="G8" s="724">
        <v>0.083664</v>
      </c>
      <c r="H8" s="723">
        <v>0.087868</v>
      </c>
      <c r="J8" s="383"/>
    </row>
    <row r="9" spans="1:10" ht="7.5" customHeight="1">
      <c r="A9" s="15"/>
      <c r="B9" s="319"/>
      <c r="C9" s="319"/>
      <c r="D9" s="319"/>
      <c r="E9" s="319"/>
      <c r="F9" s="319"/>
      <c r="G9" s="202"/>
      <c r="H9" s="319"/>
      <c r="J9" s="383"/>
    </row>
    <row r="10" spans="1:10" ht="7.5" customHeight="1">
      <c r="A10" s="106" t="s">
        <v>110</v>
      </c>
      <c r="B10" s="141">
        <v>16.9139</v>
      </c>
      <c r="C10" s="141">
        <v>16.6411</v>
      </c>
      <c r="D10" s="141">
        <v>16.1551</v>
      </c>
      <c r="E10" s="141">
        <v>17.9797</v>
      </c>
      <c r="F10" s="141">
        <v>15.7118</v>
      </c>
      <c r="G10" s="392">
        <v>16.7349</v>
      </c>
      <c r="H10" s="141">
        <v>19.4547</v>
      </c>
      <c r="J10" s="383"/>
    </row>
    <row r="11" spans="2:10" ht="7.5" customHeight="1">
      <c r="B11" s="319"/>
      <c r="C11" s="319"/>
      <c r="D11" s="319"/>
      <c r="E11" s="319"/>
      <c r="F11" s="319"/>
      <c r="G11" s="202"/>
      <c r="H11" s="319"/>
      <c r="J11" s="383"/>
    </row>
    <row r="12" spans="1:12" s="84" customFormat="1" ht="7.5" customHeight="1">
      <c r="A12" s="106" t="s">
        <v>219</v>
      </c>
      <c r="B12" s="1003">
        <v>9745</v>
      </c>
      <c r="C12" s="1003">
        <v>9777</v>
      </c>
      <c r="D12" s="1003">
        <v>9834</v>
      </c>
      <c r="E12" s="1003">
        <v>9620</v>
      </c>
      <c r="F12" s="1003">
        <v>9886</v>
      </c>
      <c r="G12" s="1008">
        <v>9766</v>
      </c>
      <c r="H12" s="1003">
        <v>9447</v>
      </c>
      <c r="I12" s="1004"/>
      <c r="J12" s="383"/>
      <c r="K12" s="206"/>
      <c r="L12" s="206"/>
    </row>
    <row r="13" spans="1:12" s="84" customFormat="1" ht="7.5" customHeight="1">
      <c r="A13" s="87" t="s">
        <v>220</v>
      </c>
      <c r="B13" s="1003"/>
      <c r="C13" s="1003"/>
      <c r="D13" s="1003"/>
      <c r="E13" s="1003"/>
      <c r="F13" s="1003"/>
      <c r="G13" s="1008"/>
      <c r="H13" s="1003"/>
      <c r="I13" s="1004"/>
      <c r="J13" s="383"/>
      <c r="K13" s="206"/>
      <c r="L13" s="206"/>
    </row>
    <row r="14" spans="1:12" s="84" customFormat="1" ht="7.5" customHeight="1">
      <c r="A14" s="87"/>
      <c r="B14" s="203"/>
      <c r="C14" s="203"/>
      <c r="D14" s="203"/>
      <c r="E14" s="203"/>
      <c r="F14" s="203"/>
      <c r="G14" s="203"/>
      <c r="H14" s="203"/>
      <c r="I14" s="206"/>
      <c r="J14" s="206"/>
      <c r="K14" s="206"/>
      <c r="L14" s="206"/>
    </row>
    <row r="15" spans="1:12" s="84" customFormat="1" ht="7.5" customHeight="1">
      <c r="A15" s="830" t="s">
        <v>240</v>
      </c>
      <c r="B15" s="1005">
        <v>44076</v>
      </c>
      <c r="C15" s="1005">
        <v>25472</v>
      </c>
      <c r="D15" s="1005">
        <v>7398</v>
      </c>
      <c r="E15" s="1005">
        <v>19133</v>
      </c>
      <c r="F15" s="1005">
        <v>14539</v>
      </c>
      <c r="G15" s="1006">
        <f>SUM(B15:F16)</f>
        <v>110618</v>
      </c>
      <c r="H15" s="1007">
        <v>2457135</v>
      </c>
      <c r="I15" s="1004"/>
      <c r="J15" s="206"/>
      <c r="K15" s="206"/>
      <c r="L15" s="206"/>
    </row>
    <row r="16" spans="1:12" s="84" customFormat="1" ht="7.5" customHeight="1">
      <c r="A16" s="830" t="s">
        <v>931</v>
      </c>
      <c r="B16" s="1005"/>
      <c r="C16" s="1005"/>
      <c r="D16" s="1005"/>
      <c r="E16" s="1005"/>
      <c r="F16" s="1005"/>
      <c r="G16" s="1006"/>
      <c r="H16" s="1007"/>
      <c r="I16" s="1004"/>
      <c r="J16" s="383"/>
      <c r="K16" s="206"/>
      <c r="L16" s="206"/>
    </row>
    <row r="17" spans="1:12" s="84" customFormat="1" ht="7.5" customHeight="1">
      <c r="A17" s="105" t="s">
        <v>239</v>
      </c>
      <c r="B17" s="142">
        <f>B15/'page 23 Logement'!B7</f>
        <v>0.0794300028317108</v>
      </c>
      <c r="C17" s="142">
        <f>C15/'page 23 Logement'!C7</f>
        <v>0.07671671743721434</v>
      </c>
      <c r="D17" s="142">
        <f>D15/'page 23 Logement'!D7</f>
        <v>0.05690343602055748</v>
      </c>
      <c r="E17" s="142">
        <f>E15/'page 23 Logement'!E7</f>
        <v>0.07864983181540676</v>
      </c>
      <c r="F17" s="142">
        <f>F15/'page 23 Logement'!F7</f>
        <v>0.053677098745781304</v>
      </c>
      <c r="G17" s="230">
        <f>G15/'page 23 Logement'!G7</f>
        <v>0.07224888242499741</v>
      </c>
      <c r="H17" s="142">
        <f>H15/'page 23 Logement'!H7</f>
        <v>0.09064578418627486</v>
      </c>
      <c r="I17" s="206"/>
      <c r="J17" s="383"/>
      <c r="K17" s="206"/>
      <c r="L17" s="206"/>
    </row>
    <row r="18" spans="1:12" s="84" customFormat="1" ht="7.5" customHeight="1">
      <c r="A18" s="105"/>
      <c r="B18" s="142"/>
      <c r="C18" s="142"/>
      <c r="D18" s="142"/>
      <c r="E18" s="142"/>
      <c r="F18" s="142"/>
      <c r="G18" s="230"/>
      <c r="H18" s="142"/>
      <c r="I18" s="206"/>
      <c r="J18" s="383"/>
      <c r="K18" s="206"/>
      <c r="L18" s="206"/>
    </row>
    <row r="19" spans="1:12" s="84" customFormat="1" ht="7.5" customHeight="1">
      <c r="A19" s="830" t="s">
        <v>932</v>
      </c>
      <c r="B19" s="842">
        <v>55300</v>
      </c>
      <c r="C19" s="842">
        <v>33900</v>
      </c>
      <c r="D19" s="842">
        <v>10600</v>
      </c>
      <c r="E19" s="842">
        <v>24700</v>
      </c>
      <c r="F19" s="842">
        <v>23400</v>
      </c>
      <c r="G19" s="805">
        <f>SUM(B19:F19)</f>
        <v>147900</v>
      </c>
      <c r="H19" s="842">
        <v>3365600</v>
      </c>
      <c r="I19" s="206"/>
      <c r="J19" s="206"/>
      <c r="K19" s="206"/>
      <c r="L19" s="206"/>
    </row>
    <row r="20" spans="1:12" s="84" customFormat="1" ht="7.5" customHeight="1" thickBot="1">
      <c r="A20" s="843"/>
      <c r="B20" s="837"/>
      <c r="C20" s="837"/>
      <c r="D20" s="837"/>
      <c r="E20" s="837"/>
      <c r="F20" s="837"/>
      <c r="G20" s="837"/>
      <c r="H20" s="844"/>
      <c r="I20" s="206"/>
      <c r="J20" s="206"/>
      <c r="K20" s="206"/>
      <c r="L20" s="206"/>
    </row>
    <row r="21" spans="1:8" ht="7.5" customHeight="1">
      <c r="A21" s="15" t="s">
        <v>772</v>
      </c>
      <c r="B21" s="25"/>
      <c r="C21" s="25"/>
      <c r="D21" s="25"/>
      <c r="E21" s="25"/>
      <c r="F21" s="25"/>
      <c r="G21" s="25"/>
      <c r="H21" s="31"/>
    </row>
    <row r="22" ht="7.5" customHeight="1">
      <c r="A22" s="427" t="s">
        <v>897</v>
      </c>
    </row>
    <row r="23" ht="7.5" customHeight="1">
      <c r="A23" s="321" t="s">
        <v>108</v>
      </c>
    </row>
    <row r="24" ht="7.5" customHeight="1">
      <c r="A24" s="320" t="s">
        <v>541</v>
      </c>
    </row>
    <row r="25" ht="7.5" customHeight="1">
      <c r="A25" s="427" t="s">
        <v>716</v>
      </c>
    </row>
    <row r="26" spans="1:8" ht="7.5" customHeight="1">
      <c r="A26" s="80"/>
      <c r="B26" s="38"/>
      <c r="C26" s="38"/>
      <c r="D26" s="38"/>
      <c r="E26" s="38"/>
      <c r="F26" s="38"/>
      <c r="G26" s="38"/>
      <c r="H26" s="117"/>
    </row>
    <row r="30" ht="9.75" customHeight="1">
      <c r="A30" s="72" t="s">
        <v>337</v>
      </c>
    </row>
  </sheetData>
  <sheetProtection/>
  <mergeCells count="18">
    <mergeCell ref="B15:B16"/>
    <mergeCell ref="C15:C16"/>
    <mergeCell ref="D15:D16"/>
    <mergeCell ref="E15:E16"/>
    <mergeCell ref="A1:H1"/>
    <mergeCell ref="A2:H2"/>
    <mergeCell ref="B12:B13"/>
    <mergeCell ref="C12:C13"/>
    <mergeCell ref="H12:H13"/>
    <mergeCell ref="D12:D13"/>
    <mergeCell ref="E12:E13"/>
    <mergeCell ref="I15:I16"/>
    <mergeCell ref="F12:F13"/>
    <mergeCell ref="F15:F16"/>
    <mergeCell ref="G15:G16"/>
    <mergeCell ref="H15:H16"/>
    <mergeCell ref="I12:I13"/>
    <mergeCell ref="G12:G13"/>
  </mergeCells>
  <printOptions/>
  <pageMargins left="0.5905511811023623" right="0.5905511811023623" top="0.7874015748031497" bottom="0.7874015748031497" header="0.31496062992125984" footer="0.31496062992125984"/>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U35"/>
  <sheetViews>
    <sheetView zoomScale="140" zoomScaleNormal="140" zoomScalePageLayoutView="0" workbookViewId="0" topLeftCell="A1">
      <selection activeCell="A18" sqref="A18"/>
    </sheetView>
  </sheetViews>
  <sheetFormatPr defaultColWidth="11.421875" defaultRowHeight="9.75" customHeight="1"/>
  <cols>
    <col min="1" max="1" width="23.7109375" style="72" customWidth="1"/>
    <col min="2" max="6" width="6.7109375" style="72" customWidth="1"/>
    <col min="7" max="7" width="6.8515625" style="72" customWidth="1"/>
    <col min="8" max="8" width="9.7109375" style="73" bestFit="1" customWidth="1"/>
    <col min="9" max="9" width="6.7109375" style="300" customWidth="1"/>
    <col min="10" max="10" width="34.00390625" style="282" customWidth="1"/>
    <col min="11" max="11" width="24.140625" style="282" customWidth="1"/>
    <col min="12" max="12" width="11.421875" style="282" customWidth="1"/>
    <col min="13" max="16384" width="11.421875" style="72" customWidth="1"/>
  </cols>
  <sheetData>
    <row r="1" spans="1:8" ht="15" customHeight="1">
      <c r="A1" s="1000" t="s">
        <v>162</v>
      </c>
      <c r="B1" s="1000"/>
      <c r="C1" s="1000"/>
      <c r="D1" s="1000"/>
      <c r="E1" s="1000"/>
      <c r="F1" s="1000"/>
      <c r="G1" s="1000"/>
      <c r="H1" s="1000"/>
    </row>
    <row r="2" spans="1:2" ht="9.75" customHeight="1">
      <c r="A2" s="75"/>
      <c r="B2" s="76"/>
    </row>
    <row r="3" spans="1:21" ht="19.5" customHeight="1">
      <c r="A3" s="77"/>
      <c r="B3" s="26" t="s">
        <v>521</v>
      </c>
      <c r="C3" s="26" t="s">
        <v>531</v>
      </c>
      <c r="D3" s="26" t="s">
        <v>523</v>
      </c>
      <c r="E3" s="26" t="s">
        <v>524</v>
      </c>
      <c r="F3" s="26" t="s">
        <v>525</v>
      </c>
      <c r="G3" s="27" t="s">
        <v>532</v>
      </c>
      <c r="H3" s="107" t="s">
        <v>535</v>
      </c>
      <c r="I3" s="305"/>
      <c r="J3" s="290"/>
      <c r="K3" s="290"/>
      <c r="L3" s="289"/>
      <c r="M3" s="139"/>
      <c r="N3" s="139"/>
      <c r="O3" s="139"/>
      <c r="P3" s="139"/>
      <c r="Q3" s="139"/>
      <c r="R3" s="139"/>
      <c r="S3" s="139"/>
      <c r="T3" s="140"/>
      <c r="U3" s="140"/>
    </row>
    <row r="4" spans="1:21" ht="7.5" customHeight="1">
      <c r="A4" s="97"/>
      <c r="B4" s="93"/>
      <c r="C4" s="93"/>
      <c r="D4" s="93"/>
      <c r="E4" s="93"/>
      <c r="F4" s="93"/>
      <c r="G4" s="93"/>
      <c r="H4" s="93"/>
      <c r="I4" s="303"/>
      <c r="J4" s="206"/>
      <c r="K4" s="206"/>
      <c r="L4" s="206"/>
      <c r="M4" s="84"/>
      <c r="N4" s="84"/>
      <c r="O4" s="84"/>
      <c r="P4" s="84"/>
      <c r="Q4" s="84"/>
      <c r="R4" s="84"/>
      <c r="S4" s="84"/>
      <c r="T4" s="84"/>
      <c r="U4" s="84"/>
    </row>
    <row r="5" spans="1:21" ht="7.5" customHeight="1">
      <c r="A5" s="845" t="s">
        <v>717</v>
      </c>
      <c r="B5" s="846">
        <v>0.084</v>
      </c>
      <c r="C5" s="846">
        <v>0.094</v>
      </c>
      <c r="D5" s="846">
        <v>0.07</v>
      </c>
      <c r="E5" s="846">
        <v>0.101</v>
      </c>
      <c r="F5" s="846">
        <v>0.084</v>
      </c>
      <c r="G5" s="847">
        <v>0.088</v>
      </c>
      <c r="H5" s="848">
        <v>0.101</v>
      </c>
      <c r="I5" s="306"/>
      <c r="J5" s="206"/>
      <c r="K5" s="292"/>
      <c r="L5" s="291"/>
      <c r="M5" s="141"/>
      <c r="N5" s="141"/>
      <c r="O5" s="141"/>
      <c r="P5" s="141"/>
      <c r="Q5" s="141"/>
      <c r="R5" s="141"/>
      <c r="S5" s="141"/>
      <c r="T5" s="84"/>
      <c r="U5" s="84"/>
    </row>
    <row r="6" spans="1:21" ht="7.5" customHeight="1">
      <c r="A6" s="84" t="s">
        <v>720</v>
      </c>
      <c r="B6" s="124">
        <f>('page 13 Pauvreté'!B14/'page 12 Pauvreté'!B32)-1</f>
        <v>0.07461278402390126</v>
      </c>
      <c r="C6" s="124">
        <f>('page 13 Pauvreté'!C14/'page 12 Pauvreté'!C32)-1</f>
        <v>0.08698211132711475</v>
      </c>
      <c r="D6" s="124">
        <f>('page 13 Pauvreté'!D14/'page 12 Pauvreté'!D32)-1</f>
        <v>0.12689949346840845</v>
      </c>
      <c r="E6" s="124">
        <f>('page 13 Pauvreté'!E14/'page 12 Pauvreté'!E32)-1</f>
        <v>0.10189848895776832</v>
      </c>
      <c r="F6" s="124">
        <f>('page 13 Pauvreté'!F14/'page 12 Pauvreté'!F32)-1</f>
        <v>0.10124972486487804</v>
      </c>
      <c r="G6" s="124">
        <f>('page 13 Pauvreté'!G14/'page 12 Pauvreté'!G32)-1</f>
        <v>0.0897292561845564</v>
      </c>
      <c r="H6" s="124">
        <f>('page 13 Pauvreté'!H14/'page 12 Pauvreté'!H32)-1</f>
        <v>0.08639730580452909</v>
      </c>
      <c r="I6" s="306"/>
      <c r="J6" s="206"/>
      <c r="K6" s="292"/>
      <c r="L6" s="291"/>
      <c r="M6" s="141"/>
      <c r="N6" s="141"/>
      <c r="O6" s="141"/>
      <c r="P6" s="141"/>
      <c r="Q6" s="141"/>
      <c r="R6" s="141"/>
      <c r="S6" s="141"/>
      <c r="T6" s="84"/>
      <c r="U6" s="84"/>
    </row>
    <row r="7" spans="8:21" ht="7.5" customHeight="1">
      <c r="H7" s="72"/>
      <c r="I7" s="306"/>
      <c r="J7" s="206"/>
      <c r="K7" s="292"/>
      <c r="L7" s="291"/>
      <c r="M7" s="141"/>
      <c r="N7" s="141"/>
      <c r="O7" s="141"/>
      <c r="P7" s="141"/>
      <c r="Q7" s="141"/>
      <c r="R7" s="141"/>
      <c r="S7" s="141"/>
      <c r="T7" s="84"/>
      <c r="U7" s="84"/>
    </row>
    <row r="8" spans="1:21" ht="7.5" customHeight="1">
      <c r="A8" s="830" t="s">
        <v>898</v>
      </c>
      <c r="B8" s="849">
        <v>0.09128781994172645</v>
      </c>
      <c r="C8" s="849">
        <v>0.0905822024889</v>
      </c>
      <c r="D8" s="849">
        <v>0.07020804364103113</v>
      </c>
      <c r="E8" s="849">
        <v>0.10051834160264421</v>
      </c>
      <c r="F8" s="849">
        <v>0.07781346267287147</v>
      </c>
      <c r="G8" s="849">
        <v>0.08839261388913476</v>
      </c>
      <c r="H8" s="849">
        <v>0.10789960460987025</v>
      </c>
      <c r="I8" s="306"/>
      <c r="K8" s="292"/>
      <c r="L8" s="291"/>
      <c r="M8" s="141"/>
      <c r="N8" s="141"/>
      <c r="O8" s="141"/>
      <c r="P8" s="141"/>
      <c r="Q8" s="141"/>
      <c r="R8" s="141"/>
      <c r="S8" s="141"/>
      <c r="T8" s="84"/>
      <c r="U8" s="84"/>
    </row>
    <row r="9" spans="1:21" ht="7.5" customHeight="1">
      <c r="A9" s="72" t="s">
        <v>501</v>
      </c>
      <c r="B9" s="124">
        <v>0.19288760280231496</v>
      </c>
      <c r="C9" s="124">
        <v>0.18781534754123053</v>
      </c>
      <c r="D9" s="124">
        <v>0.16770186335403728</v>
      </c>
      <c r="E9" s="124">
        <v>0.2160536266758336</v>
      </c>
      <c r="F9" s="124">
        <v>0.1621525484018497</v>
      </c>
      <c r="G9" s="215">
        <v>0.18778366951779513</v>
      </c>
      <c r="H9" s="124">
        <v>0.2390420436517138</v>
      </c>
      <c r="I9" s="306"/>
      <c r="K9" s="292"/>
      <c r="L9" s="291"/>
      <c r="M9" s="141"/>
      <c r="N9" s="141"/>
      <c r="O9" s="141"/>
      <c r="P9" s="141"/>
      <c r="Q9" s="141"/>
      <c r="R9" s="141"/>
      <c r="S9" s="141"/>
      <c r="T9" s="84"/>
      <c r="U9" s="84"/>
    </row>
    <row r="10" spans="1:21" ht="7.5" customHeight="1">
      <c r="A10" s="72" t="s">
        <v>68</v>
      </c>
      <c r="B10" s="124">
        <v>0.08040531712580994</v>
      </c>
      <c r="C10" s="124">
        <v>0.0784807825770845</v>
      </c>
      <c r="D10" s="124">
        <v>0.05757996049258185</v>
      </c>
      <c r="E10" s="124">
        <v>0.08737275388005923</v>
      </c>
      <c r="F10" s="124">
        <v>0.06596024314112042</v>
      </c>
      <c r="G10" s="215">
        <v>0.07659371771064079</v>
      </c>
      <c r="H10" s="124">
        <v>0.09483890212663071</v>
      </c>
      <c r="I10" s="306"/>
      <c r="K10" s="292"/>
      <c r="L10" s="206"/>
      <c r="M10" s="84"/>
      <c r="N10" s="84"/>
      <c r="O10" s="84"/>
      <c r="P10" s="84"/>
      <c r="Q10" s="84"/>
      <c r="R10" s="84"/>
      <c r="S10" s="84"/>
      <c r="T10" s="84"/>
      <c r="U10" s="84"/>
    </row>
    <row r="11" spans="1:21" ht="7.5" customHeight="1">
      <c r="A11" s="72" t="s">
        <v>69</v>
      </c>
      <c r="B11" s="124">
        <v>0.06600346020761245</v>
      </c>
      <c r="C11" s="124">
        <v>0.06533321293119017</v>
      </c>
      <c r="D11" s="124">
        <v>0.05179035355246809</v>
      </c>
      <c r="E11" s="124">
        <v>0.0727533878723537</v>
      </c>
      <c r="F11" s="124">
        <v>0.0635774647887324</v>
      </c>
      <c r="G11" s="215">
        <v>0.0652474495824304</v>
      </c>
      <c r="H11" s="124">
        <v>0.07696216080271318</v>
      </c>
      <c r="I11" s="306"/>
      <c r="K11" s="292"/>
      <c r="L11" s="206"/>
      <c r="M11" s="84"/>
      <c r="N11" s="84"/>
      <c r="O11" s="84"/>
      <c r="P11" s="84"/>
      <c r="Q11" s="84"/>
      <c r="R11" s="84"/>
      <c r="S11" s="84"/>
      <c r="T11" s="84"/>
      <c r="U11" s="84"/>
    </row>
    <row r="12" spans="1:21" ht="7.5" customHeight="1">
      <c r="A12" s="830" t="s">
        <v>899</v>
      </c>
      <c r="B12" s="849">
        <v>0.10520555718816818</v>
      </c>
      <c r="C12" s="849">
        <v>0.11269412405776043</v>
      </c>
      <c r="D12" s="849">
        <v>0.08522557959353955</v>
      </c>
      <c r="E12" s="849">
        <v>0.11740278444551128</v>
      </c>
      <c r="F12" s="849">
        <v>0.10991262297574148</v>
      </c>
      <c r="G12" s="849">
        <v>0.10788837809782183</v>
      </c>
      <c r="H12" s="849">
        <v>0.12362559684927107</v>
      </c>
      <c r="I12" s="306"/>
      <c r="K12" s="206"/>
      <c r="L12" s="206"/>
      <c r="M12" s="84"/>
      <c r="N12" s="84"/>
      <c r="O12" s="84"/>
      <c r="P12" s="84"/>
      <c r="Q12" s="84"/>
      <c r="R12" s="84"/>
      <c r="S12" s="84"/>
      <c r="T12" s="84"/>
      <c r="U12" s="84"/>
    </row>
    <row r="13" spans="1:21" ht="7.5" customHeight="1">
      <c r="A13" s="72" t="s">
        <v>501</v>
      </c>
      <c r="B13" s="124">
        <v>0.21849258013759912</v>
      </c>
      <c r="C13" s="124">
        <v>0.23492903536203993</v>
      </c>
      <c r="D13" s="124">
        <v>0.20002785903329154</v>
      </c>
      <c r="E13" s="124">
        <v>0.26989497427222103</v>
      </c>
      <c r="F13" s="124">
        <v>0.23550075768012124</v>
      </c>
      <c r="G13" s="215">
        <v>0.23179506752130036</v>
      </c>
      <c r="H13" s="124">
        <v>0.2592654270315172</v>
      </c>
      <c r="I13" s="306"/>
      <c r="K13" s="206"/>
      <c r="L13" s="206"/>
      <c r="M13" s="84"/>
      <c r="N13" s="84"/>
      <c r="O13" s="84"/>
      <c r="P13" s="84"/>
      <c r="Q13" s="84"/>
      <c r="R13" s="84"/>
      <c r="S13" s="84"/>
      <c r="T13" s="84"/>
      <c r="U13" s="84"/>
    </row>
    <row r="14" spans="1:21" ht="7.5" customHeight="1">
      <c r="A14" s="72" t="s">
        <v>68</v>
      </c>
      <c r="B14" s="124">
        <v>0.09933584487307144</v>
      </c>
      <c r="C14" s="124">
        <v>0.10328799080871068</v>
      </c>
      <c r="D14" s="124">
        <v>0.07838214147131999</v>
      </c>
      <c r="E14" s="124">
        <v>0.10766291180657891</v>
      </c>
      <c r="F14" s="124">
        <v>0.09850924665493542</v>
      </c>
      <c r="G14" s="215">
        <v>0.09957445669628519</v>
      </c>
      <c r="H14" s="124">
        <v>0.11653642871391426</v>
      </c>
      <c r="I14" s="306"/>
      <c r="K14" s="206"/>
      <c r="L14" s="206"/>
      <c r="M14" s="84"/>
      <c r="N14" s="84"/>
      <c r="O14" s="84"/>
      <c r="P14" s="84"/>
      <c r="Q14" s="84"/>
      <c r="R14" s="84"/>
      <c r="S14" s="84"/>
      <c r="T14" s="84"/>
      <c r="U14" s="84"/>
    </row>
    <row r="15" spans="1:21" ht="7.5" customHeight="1">
      <c r="A15" s="72" t="s">
        <v>69</v>
      </c>
      <c r="B15" s="124">
        <v>0.06844277782622599</v>
      </c>
      <c r="C15" s="124">
        <v>0.07725404882765288</v>
      </c>
      <c r="D15" s="124">
        <v>0.05271317829457364</v>
      </c>
      <c r="E15" s="124">
        <v>0.07229817708333333</v>
      </c>
      <c r="F15" s="124">
        <v>0.08610944076969332</v>
      </c>
      <c r="G15" s="215">
        <v>0.07274093694489116</v>
      </c>
      <c r="H15" s="124">
        <v>0.08272325261363991</v>
      </c>
      <c r="I15" s="306"/>
      <c r="K15" s="206"/>
      <c r="L15" s="206"/>
      <c r="M15" s="84"/>
      <c r="N15" s="84"/>
      <c r="O15" s="84"/>
      <c r="P15" s="84"/>
      <c r="Q15" s="84"/>
      <c r="R15" s="84"/>
      <c r="S15" s="84"/>
      <c r="T15" s="84"/>
      <c r="U15" s="84"/>
    </row>
    <row r="16" spans="7:9" ht="7.5" customHeight="1">
      <c r="G16" s="73"/>
      <c r="H16" s="72"/>
      <c r="I16" s="306"/>
    </row>
    <row r="17" spans="1:9" ht="7.5" customHeight="1">
      <c r="A17" s="830" t="s">
        <v>954</v>
      </c>
      <c r="B17" s="850">
        <v>52956</v>
      </c>
      <c r="C17" s="850">
        <v>32863</v>
      </c>
      <c r="D17" s="850">
        <v>9715</v>
      </c>
      <c r="E17" s="850">
        <v>22126</v>
      </c>
      <c r="F17" s="850">
        <v>27358</v>
      </c>
      <c r="G17" s="850">
        <f>SUM(B17:F17)</f>
        <v>145018</v>
      </c>
      <c r="H17" s="851" t="s">
        <v>324</v>
      </c>
      <c r="I17" s="306"/>
    </row>
    <row r="18" spans="1:9" ht="7.5" customHeight="1">
      <c r="A18" s="105" t="s">
        <v>508</v>
      </c>
      <c r="B18" s="125">
        <v>46419</v>
      </c>
      <c r="C18" s="125">
        <v>27520</v>
      </c>
      <c r="D18" s="125">
        <v>8320</v>
      </c>
      <c r="E18" s="125">
        <v>18675</v>
      </c>
      <c r="F18" s="125">
        <v>23430</v>
      </c>
      <c r="G18" s="126">
        <f>SUM(B18:F18)</f>
        <v>124364</v>
      </c>
      <c r="H18" s="420" t="s">
        <v>324</v>
      </c>
      <c r="I18" s="702"/>
    </row>
    <row r="19" spans="1:9" ht="7.5" customHeight="1">
      <c r="A19" s="105" t="s">
        <v>509</v>
      </c>
      <c r="B19" s="125">
        <v>5100</v>
      </c>
      <c r="C19" s="125">
        <v>3943</v>
      </c>
      <c r="D19" s="125">
        <v>1014</v>
      </c>
      <c r="E19" s="125">
        <v>2805</v>
      </c>
      <c r="F19" s="125">
        <v>3044</v>
      </c>
      <c r="G19" s="126">
        <f>SUM(B19:F19)</f>
        <v>15906</v>
      </c>
      <c r="H19" s="420" t="s">
        <v>324</v>
      </c>
      <c r="I19" s="306"/>
    </row>
    <row r="20" spans="1:9" ht="7.5" customHeight="1">
      <c r="A20" s="830" t="s">
        <v>298</v>
      </c>
      <c r="B20" s="850"/>
      <c r="C20" s="850"/>
      <c r="D20" s="850"/>
      <c r="E20" s="850"/>
      <c r="F20" s="850"/>
      <c r="G20" s="850"/>
      <c r="H20" s="851"/>
      <c r="I20" s="306"/>
    </row>
    <row r="21" spans="1:9" ht="7.5" customHeight="1">
      <c r="A21" s="830" t="s">
        <v>299</v>
      </c>
      <c r="B21" s="850">
        <v>4828</v>
      </c>
      <c r="C21" s="850">
        <v>3582</v>
      </c>
      <c r="D21" s="850">
        <v>1106</v>
      </c>
      <c r="E21" s="850">
        <v>2073</v>
      </c>
      <c r="F21" s="850">
        <v>2748</v>
      </c>
      <c r="G21" s="850">
        <f>SUM(B21:F21)</f>
        <v>14337</v>
      </c>
      <c r="H21" s="851" t="s">
        <v>324</v>
      </c>
      <c r="I21" s="306"/>
    </row>
    <row r="22" spans="1:9" ht="7.5" customHeight="1">
      <c r="A22" s="105"/>
      <c r="B22" s="125"/>
      <c r="C22" s="125"/>
      <c r="D22" s="125"/>
      <c r="E22" s="125"/>
      <c r="F22" s="125"/>
      <c r="G22" s="126"/>
      <c r="H22" s="420"/>
      <c r="I22" s="306"/>
    </row>
    <row r="23" spans="1:9" ht="7.5" customHeight="1">
      <c r="A23" s="830" t="s">
        <v>631</v>
      </c>
      <c r="B23" s="831">
        <v>57784</v>
      </c>
      <c r="C23" s="831">
        <v>36445</v>
      </c>
      <c r="D23" s="831">
        <v>10821</v>
      </c>
      <c r="E23" s="831">
        <v>24199</v>
      </c>
      <c r="F23" s="831">
        <v>30106</v>
      </c>
      <c r="G23" s="850">
        <f>SUM(B23:F23)</f>
        <v>159355</v>
      </c>
      <c r="H23" s="851" t="s">
        <v>324</v>
      </c>
      <c r="I23" s="306"/>
    </row>
    <row r="24" spans="1:8" ht="7.5" customHeight="1" thickBot="1">
      <c r="A24" s="837"/>
      <c r="B24" s="837"/>
      <c r="C24" s="837"/>
      <c r="D24" s="837"/>
      <c r="E24" s="837"/>
      <c r="F24" s="837"/>
      <c r="G24" s="837"/>
      <c r="H24" s="837"/>
    </row>
    <row r="25" spans="1:8" ht="7.5" customHeight="1">
      <c r="A25" s="72" t="s">
        <v>719</v>
      </c>
      <c r="B25" s="25"/>
      <c r="C25" s="25"/>
      <c r="D25" s="25"/>
      <c r="E25" s="25"/>
      <c r="F25" s="25"/>
      <c r="G25" s="25"/>
      <c r="H25" s="25"/>
    </row>
    <row r="26" spans="1:8" ht="7.5" customHeight="1">
      <c r="A26" s="105" t="s">
        <v>721</v>
      </c>
      <c r="B26" s="25"/>
      <c r="C26" s="25"/>
      <c r="D26" s="25"/>
      <c r="E26" s="25"/>
      <c r="F26" s="25"/>
      <c r="G26" s="25"/>
      <c r="H26" s="25"/>
    </row>
    <row r="27" spans="1:8" ht="7.5" customHeight="1">
      <c r="A27" s="105" t="s">
        <v>518</v>
      </c>
      <c r="B27" s="110"/>
      <c r="C27" s="110"/>
      <c r="D27" s="110"/>
      <c r="E27" s="110"/>
      <c r="F27" s="110"/>
      <c r="G27" s="110"/>
      <c r="H27" s="110"/>
    </row>
    <row r="28" spans="1:8" ht="9.75" customHeight="1">
      <c r="A28" s="112" t="s">
        <v>300</v>
      </c>
      <c r="B28" s="116"/>
      <c r="C28" s="116"/>
      <c r="D28" s="116"/>
      <c r="E28" s="116"/>
      <c r="F28" s="116"/>
      <c r="G28" s="116"/>
      <c r="H28" s="116"/>
    </row>
    <row r="29" ht="9.75" customHeight="1">
      <c r="H29" s="82"/>
    </row>
    <row r="30" spans="2:8" ht="9.75" customHeight="1">
      <c r="B30" s="322"/>
      <c r="C30" s="322"/>
      <c r="D30" s="322"/>
      <c r="E30" s="322"/>
      <c r="F30" s="322"/>
      <c r="G30" s="323"/>
      <c r="H30" s="324"/>
    </row>
    <row r="31" ht="9.75" customHeight="1">
      <c r="H31" s="81"/>
    </row>
    <row r="32" spans="1:8" ht="9.75" customHeight="1">
      <c r="A32" s="441" t="s">
        <v>718</v>
      </c>
      <c r="B32" s="553">
        <v>89033</v>
      </c>
      <c r="C32" s="553">
        <v>56069</v>
      </c>
      <c r="D32" s="553">
        <v>15004</v>
      </c>
      <c r="E32" s="553">
        <v>38715</v>
      </c>
      <c r="F32" s="553">
        <v>40889</v>
      </c>
      <c r="G32" s="553">
        <v>239710</v>
      </c>
      <c r="H32" s="552">
        <v>4316836</v>
      </c>
    </row>
    <row r="33" spans="2:8" ht="9.75" customHeight="1">
      <c r="B33" s="441"/>
      <c r="C33" s="441"/>
      <c r="D33" s="441"/>
      <c r="E33" s="441"/>
      <c r="F33" s="441"/>
      <c r="G33" s="441"/>
      <c r="H33" s="555"/>
    </row>
    <row r="35" spans="2:8" ht="9.75" customHeight="1">
      <c r="B35" s="115"/>
      <c r="C35" s="115"/>
      <c r="D35" s="115"/>
      <c r="E35" s="115"/>
      <c r="F35" s="115"/>
      <c r="G35" s="115"/>
      <c r="H35" s="115"/>
    </row>
  </sheetData>
  <sheetProtection/>
  <mergeCells count="1">
    <mergeCell ref="A1:H1"/>
  </mergeCells>
  <printOptions/>
  <pageMargins left="0.5905511811023623" right="0.5905511811023623" top="0.7874015748031497" bottom="0.7874015748031497" header="0.31496062992125984" footer="0.31496062992125984"/>
  <pageSetup horizontalDpi="600" verticalDpi="600" orientation="landscape" paperSize="9" r:id="rId1"/>
  <colBreaks count="1" manualBreakCount="1">
    <brk id="9" max="65535" man="1"/>
  </colBreaks>
</worksheet>
</file>

<file path=xl/worksheets/sheet14.xml><?xml version="1.0" encoding="utf-8"?>
<worksheet xmlns="http://schemas.openxmlformats.org/spreadsheetml/2006/main" xmlns:r="http://schemas.openxmlformats.org/officeDocument/2006/relationships">
  <dimension ref="A1:J47"/>
  <sheetViews>
    <sheetView zoomScale="140" zoomScaleNormal="140" zoomScalePageLayoutView="0" workbookViewId="0" topLeftCell="A1">
      <selection activeCell="A1" sqref="A1:H1"/>
    </sheetView>
  </sheetViews>
  <sheetFormatPr defaultColWidth="11.421875" defaultRowHeight="9.75" customHeight="1"/>
  <cols>
    <col min="1" max="1" width="23.7109375" style="72" customWidth="1"/>
    <col min="2" max="6" width="6.7109375" style="72" customWidth="1"/>
    <col min="7" max="7" width="6.8515625" style="72" customWidth="1"/>
    <col min="8" max="8" width="9.8515625" style="73" customWidth="1"/>
    <col min="9" max="9" width="6.7109375" style="300" customWidth="1"/>
    <col min="10" max="10" width="34.00390625" style="282" customWidth="1"/>
    <col min="11" max="11" width="24.140625" style="282" customWidth="1"/>
    <col min="12" max="12" width="11.421875" style="282" customWidth="1"/>
    <col min="13" max="16384" width="11.421875" style="72" customWidth="1"/>
  </cols>
  <sheetData>
    <row r="1" spans="1:8" ht="15" customHeight="1">
      <c r="A1" s="1000" t="s">
        <v>529</v>
      </c>
      <c r="B1" s="1000"/>
      <c r="C1" s="1000"/>
      <c r="D1" s="1000"/>
      <c r="E1" s="1000"/>
      <c r="F1" s="1000"/>
      <c r="G1" s="1000"/>
      <c r="H1" s="1000"/>
    </row>
    <row r="2" spans="1:8" ht="9.75" customHeight="1">
      <c r="A2" s="1002" t="s">
        <v>722</v>
      </c>
      <c r="B2" s="1002"/>
      <c r="C2" s="1002"/>
      <c r="D2" s="1002"/>
      <c r="E2" s="1002"/>
      <c r="F2" s="1002"/>
      <c r="G2" s="1002"/>
      <c r="H2" s="1002"/>
    </row>
    <row r="3" spans="1:2" ht="7.5" customHeight="1">
      <c r="A3" s="75"/>
      <c r="B3" s="76"/>
    </row>
    <row r="4" spans="1:10" ht="19.5" customHeight="1">
      <c r="A4" s="77"/>
      <c r="B4" s="26" t="s">
        <v>521</v>
      </c>
      <c r="C4" s="26" t="s">
        <v>531</v>
      </c>
      <c r="D4" s="26" t="s">
        <v>523</v>
      </c>
      <c r="E4" s="26" t="s">
        <v>524</v>
      </c>
      <c r="F4" s="26" t="s">
        <v>525</v>
      </c>
      <c r="G4" s="27" t="s">
        <v>532</v>
      </c>
      <c r="H4" s="78" t="s">
        <v>527</v>
      </c>
      <c r="I4" s="303"/>
      <c r="J4" s="206"/>
    </row>
    <row r="5" spans="1:8" ht="7.5" customHeight="1">
      <c r="A5" s="97"/>
      <c r="B5" s="93"/>
      <c r="C5" s="93"/>
      <c r="D5" s="93"/>
      <c r="E5" s="93"/>
      <c r="F5" s="93"/>
      <c r="G5" s="93"/>
      <c r="H5" s="93"/>
    </row>
    <row r="6" spans="1:9" ht="7.5" customHeight="1">
      <c r="A6" s="845" t="s">
        <v>570</v>
      </c>
      <c r="B6" s="852">
        <f>SUM(B7:B9)</f>
        <v>45816</v>
      </c>
      <c r="C6" s="852">
        <f aca="true" t="shared" si="0" ref="C6:H6">SUM(C7:C9)</f>
        <v>28346</v>
      </c>
      <c r="D6" s="852">
        <f t="shared" si="0"/>
        <v>8071</v>
      </c>
      <c r="E6" s="852">
        <f t="shared" si="0"/>
        <v>20188</v>
      </c>
      <c r="F6" s="852">
        <f t="shared" si="0"/>
        <v>20260</v>
      </c>
      <c r="G6" s="852">
        <f t="shared" si="0"/>
        <v>122681</v>
      </c>
      <c r="H6" s="852">
        <f t="shared" si="0"/>
        <v>2327408</v>
      </c>
      <c r="I6" s="303"/>
    </row>
    <row r="7" spans="1:9" ht="7.5" customHeight="1">
      <c r="A7" s="150" t="s">
        <v>501</v>
      </c>
      <c r="B7" s="67">
        <v>8642</v>
      </c>
      <c r="C7" s="67">
        <v>5981</v>
      </c>
      <c r="D7" s="67">
        <v>1754</v>
      </c>
      <c r="E7" s="67">
        <v>4382</v>
      </c>
      <c r="F7" s="67">
        <v>4329</v>
      </c>
      <c r="G7" s="68">
        <f>SUM(B7:F7)</f>
        <v>25088</v>
      </c>
      <c r="H7" s="108">
        <v>409293</v>
      </c>
      <c r="I7" s="303"/>
    </row>
    <row r="8" spans="1:9" ht="7.5" customHeight="1">
      <c r="A8" s="150" t="s">
        <v>502</v>
      </c>
      <c r="B8" s="67">
        <v>29221</v>
      </c>
      <c r="C8" s="67">
        <v>17014</v>
      </c>
      <c r="D8" s="67">
        <v>4831</v>
      </c>
      <c r="E8" s="67">
        <v>12183</v>
      </c>
      <c r="F8" s="67">
        <v>11718</v>
      </c>
      <c r="G8" s="68">
        <f>SUM(B8:F8)</f>
        <v>74967</v>
      </c>
      <c r="H8" s="108">
        <v>1461888</v>
      </c>
      <c r="I8" s="303"/>
    </row>
    <row r="9" spans="1:9" ht="7.5" customHeight="1">
      <c r="A9" s="150" t="s">
        <v>503</v>
      </c>
      <c r="B9" s="67">
        <v>7953</v>
      </c>
      <c r="C9" s="67">
        <v>5351</v>
      </c>
      <c r="D9" s="67">
        <v>1486</v>
      </c>
      <c r="E9" s="67">
        <v>3623</v>
      </c>
      <c r="F9" s="67">
        <v>4213</v>
      </c>
      <c r="G9" s="68">
        <f>SUM(B9:F9)</f>
        <v>22626</v>
      </c>
      <c r="H9" s="108">
        <v>456227</v>
      </c>
      <c r="I9" s="303"/>
    </row>
    <row r="10" spans="1:9" ht="7.5" customHeight="1">
      <c r="A10" s="845" t="s">
        <v>571</v>
      </c>
      <c r="B10" s="852">
        <f>SUM(B11:B13)</f>
        <v>49860</v>
      </c>
      <c r="C10" s="852">
        <f aca="true" t="shared" si="1" ref="C10:H10">SUM(C11:C13)</f>
        <v>32600</v>
      </c>
      <c r="D10" s="852">
        <f t="shared" si="1"/>
        <v>8837</v>
      </c>
      <c r="E10" s="852">
        <f>SUM(E11:E13)</f>
        <v>22472</v>
      </c>
      <c r="F10" s="852">
        <f t="shared" si="1"/>
        <v>24769</v>
      </c>
      <c r="G10" s="852">
        <f t="shared" si="1"/>
        <v>138538</v>
      </c>
      <c r="H10" s="852">
        <f t="shared" si="1"/>
        <v>2362391</v>
      </c>
      <c r="I10" s="303"/>
    </row>
    <row r="11" spans="1:9" ht="7.5" customHeight="1">
      <c r="A11" s="150" t="s">
        <v>501</v>
      </c>
      <c r="B11" s="67">
        <v>8755</v>
      </c>
      <c r="C11" s="67">
        <v>6084</v>
      </c>
      <c r="D11" s="67">
        <v>1740</v>
      </c>
      <c r="E11" s="67">
        <v>4482</v>
      </c>
      <c r="F11" s="67">
        <v>4510</v>
      </c>
      <c r="G11" s="68">
        <f aca="true" t="shared" si="2" ref="G11:G23">SUM(B11:F11)</f>
        <v>25571</v>
      </c>
      <c r="H11" s="108">
        <v>386615</v>
      </c>
      <c r="I11" s="303"/>
    </row>
    <row r="12" spans="1:9" ht="7.5" customHeight="1">
      <c r="A12" s="150" t="s">
        <v>502</v>
      </c>
      <c r="B12" s="67">
        <v>31553</v>
      </c>
      <c r="C12" s="67">
        <v>19589</v>
      </c>
      <c r="D12" s="67">
        <v>5343</v>
      </c>
      <c r="E12" s="67">
        <v>13521</v>
      </c>
      <c r="F12" s="67">
        <v>14334</v>
      </c>
      <c r="G12" s="68">
        <f t="shared" si="2"/>
        <v>84340</v>
      </c>
      <c r="H12" s="108">
        <v>1480503</v>
      </c>
      <c r="I12" s="303"/>
    </row>
    <row r="13" spans="1:9" ht="7.5" customHeight="1">
      <c r="A13" s="150" t="s">
        <v>503</v>
      </c>
      <c r="B13" s="67">
        <v>9552</v>
      </c>
      <c r="C13" s="67">
        <v>6927</v>
      </c>
      <c r="D13" s="67">
        <v>1754</v>
      </c>
      <c r="E13" s="67">
        <v>4469</v>
      </c>
      <c r="F13" s="67">
        <v>5925</v>
      </c>
      <c r="G13" s="68">
        <f t="shared" si="2"/>
        <v>28627</v>
      </c>
      <c r="H13" s="108">
        <v>495273</v>
      </c>
      <c r="I13" s="303"/>
    </row>
    <row r="14" spans="1:9" ht="7.5" customHeight="1">
      <c r="A14" s="853" t="s">
        <v>539</v>
      </c>
      <c r="B14" s="852">
        <f>B6+B10</f>
        <v>95676</v>
      </c>
      <c r="C14" s="852">
        <f aca="true" t="shared" si="3" ref="C14:H15">C6+C10</f>
        <v>60946</v>
      </c>
      <c r="D14" s="852">
        <f t="shared" si="3"/>
        <v>16908</v>
      </c>
      <c r="E14" s="852">
        <f t="shared" si="3"/>
        <v>42660</v>
      </c>
      <c r="F14" s="852">
        <f t="shared" si="3"/>
        <v>45029</v>
      </c>
      <c r="G14" s="852">
        <f t="shared" si="3"/>
        <v>261219</v>
      </c>
      <c r="H14" s="852">
        <f t="shared" si="3"/>
        <v>4689799</v>
      </c>
      <c r="I14" s="303"/>
    </row>
    <row r="15" spans="1:9" ht="7.5" customHeight="1">
      <c r="A15" s="150" t="s">
        <v>501</v>
      </c>
      <c r="B15" s="67">
        <f>B7+B11</f>
        <v>17397</v>
      </c>
      <c r="C15" s="67">
        <f t="shared" si="3"/>
        <v>12065</v>
      </c>
      <c r="D15" s="67">
        <f t="shared" si="3"/>
        <v>3494</v>
      </c>
      <c r="E15" s="67">
        <f t="shared" si="3"/>
        <v>8864</v>
      </c>
      <c r="F15" s="67">
        <f t="shared" si="3"/>
        <v>8839</v>
      </c>
      <c r="G15" s="68">
        <f t="shared" si="2"/>
        <v>50659</v>
      </c>
      <c r="H15" s="67">
        <f t="shared" si="3"/>
        <v>795908</v>
      </c>
      <c r="I15" s="303"/>
    </row>
    <row r="16" spans="1:10" ht="7.5" customHeight="1">
      <c r="A16" s="150" t="s">
        <v>502</v>
      </c>
      <c r="B16" s="67">
        <f aca="true" t="shared" si="4" ref="B16:H17">B8+B12</f>
        <v>60774</v>
      </c>
      <c r="C16" s="67">
        <f t="shared" si="4"/>
        <v>36603</v>
      </c>
      <c r="D16" s="67">
        <f t="shared" si="4"/>
        <v>10174</v>
      </c>
      <c r="E16" s="67">
        <f t="shared" si="4"/>
        <v>25704</v>
      </c>
      <c r="F16" s="67">
        <f t="shared" si="4"/>
        <v>26052</v>
      </c>
      <c r="G16" s="68">
        <f t="shared" si="2"/>
        <v>159307</v>
      </c>
      <c r="H16" s="67">
        <f t="shared" si="4"/>
        <v>2942391</v>
      </c>
      <c r="I16" s="303"/>
      <c r="J16" s="293"/>
    </row>
    <row r="17" spans="1:10" ht="7.5" customHeight="1">
      <c r="A17" s="150" t="s">
        <v>503</v>
      </c>
      <c r="B17" s="67">
        <f t="shared" si="4"/>
        <v>17505</v>
      </c>
      <c r="C17" s="67">
        <f t="shared" si="4"/>
        <v>12278</v>
      </c>
      <c r="D17" s="67">
        <f t="shared" si="4"/>
        <v>3240</v>
      </c>
      <c r="E17" s="67">
        <f t="shared" si="4"/>
        <v>8092</v>
      </c>
      <c r="F17" s="67">
        <f t="shared" si="4"/>
        <v>10138</v>
      </c>
      <c r="G17" s="68">
        <f t="shared" si="2"/>
        <v>51253</v>
      </c>
      <c r="H17" s="67">
        <f t="shared" si="4"/>
        <v>951500</v>
      </c>
      <c r="I17" s="303"/>
      <c r="J17" s="293"/>
    </row>
    <row r="18" spans="1:10" ht="7.5" customHeight="1">
      <c r="A18" s="150"/>
      <c r="B18" s="67"/>
      <c r="C18" s="67"/>
      <c r="D18" s="67"/>
      <c r="E18" s="67"/>
      <c r="F18" s="67"/>
      <c r="G18" s="68"/>
      <c r="H18" s="67"/>
      <c r="I18" s="303"/>
      <c r="J18" s="293"/>
    </row>
    <row r="19" spans="1:10" ht="7.5" customHeight="1">
      <c r="A19" s="853" t="s">
        <v>538</v>
      </c>
      <c r="B19" s="852">
        <v>55376</v>
      </c>
      <c r="C19" s="852">
        <v>35114</v>
      </c>
      <c r="D19" s="852">
        <v>9954</v>
      </c>
      <c r="E19" s="852">
        <v>26017</v>
      </c>
      <c r="F19" s="852">
        <v>25319</v>
      </c>
      <c r="G19" s="852">
        <f t="shared" si="2"/>
        <v>151780</v>
      </c>
      <c r="H19" s="854">
        <v>3132900</v>
      </c>
      <c r="I19" s="303"/>
      <c r="J19" s="293"/>
    </row>
    <row r="20" spans="1:10" ht="7.5" customHeight="1">
      <c r="A20" s="208"/>
      <c r="B20" s="109"/>
      <c r="C20" s="109"/>
      <c r="D20" s="109"/>
      <c r="E20" s="109"/>
      <c r="F20" s="109"/>
      <c r="G20" s="109"/>
      <c r="H20" s="93"/>
      <c r="I20" s="303"/>
      <c r="J20" s="293"/>
    </row>
    <row r="21" spans="1:10" ht="7.5" customHeight="1">
      <c r="A21" s="23" t="s">
        <v>70</v>
      </c>
      <c r="B21" s="108">
        <v>60059</v>
      </c>
      <c r="C21" s="108">
        <v>35451</v>
      </c>
      <c r="D21" s="108">
        <v>10967</v>
      </c>
      <c r="E21" s="108">
        <v>25695</v>
      </c>
      <c r="F21" s="108">
        <v>28135</v>
      </c>
      <c r="G21" s="68">
        <f t="shared" si="2"/>
        <v>160307</v>
      </c>
      <c r="H21" s="92">
        <v>2853747</v>
      </c>
      <c r="I21" s="303"/>
      <c r="J21" s="293"/>
    </row>
    <row r="22" spans="1:10" ht="7.5" customHeight="1">
      <c r="A22" s="23" t="s">
        <v>71</v>
      </c>
      <c r="B22" s="108">
        <f>17679+7674</f>
        <v>25353</v>
      </c>
      <c r="C22" s="108">
        <f>12330+5501</f>
        <v>17831</v>
      </c>
      <c r="D22" s="108">
        <f>3311+1186</f>
        <v>4497</v>
      </c>
      <c r="E22" s="108">
        <f>8339+3616</f>
        <v>11955</v>
      </c>
      <c r="F22" s="108">
        <f>8924+3643</f>
        <v>12567</v>
      </c>
      <c r="G22" s="68">
        <f t="shared" si="2"/>
        <v>72203</v>
      </c>
      <c r="H22" s="92">
        <f>933414+396925</f>
        <v>1330339</v>
      </c>
      <c r="I22" s="303"/>
      <c r="J22" s="293"/>
    </row>
    <row r="23" spans="1:10" ht="7.5" customHeight="1">
      <c r="A23" s="23" t="s">
        <v>72</v>
      </c>
      <c r="B23" s="108">
        <v>10264</v>
      </c>
      <c r="C23" s="108">
        <v>7664</v>
      </c>
      <c r="D23" s="108">
        <v>1444</v>
      </c>
      <c r="E23" s="108">
        <v>5010</v>
      </c>
      <c r="F23" s="108">
        <v>4327</v>
      </c>
      <c r="G23" s="68">
        <f t="shared" si="2"/>
        <v>28709</v>
      </c>
      <c r="H23" s="92">
        <v>505713</v>
      </c>
      <c r="I23" s="303"/>
      <c r="J23" s="293"/>
    </row>
    <row r="24" spans="1:10" ht="7.5" customHeight="1">
      <c r="A24" s="853" t="s">
        <v>540</v>
      </c>
      <c r="B24" s="852">
        <f aca="true" t="shared" si="5" ref="B24:G24">SUM(B22:B23)</f>
        <v>35617</v>
      </c>
      <c r="C24" s="852">
        <f t="shared" si="5"/>
        <v>25495</v>
      </c>
      <c r="D24" s="852">
        <f t="shared" si="5"/>
        <v>5941</v>
      </c>
      <c r="E24" s="852">
        <f t="shared" si="5"/>
        <v>16965</v>
      </c>
      <c r="F24" s="852">
        <f t="shared" si="5"/>
        <v>16894</v>
      </c>
      <c r="G24" s="852">
        <f t="shared" si="5"/>
        <v>100912</v>
      </c>
      <c r="H24" s="852">
        <f>SUM(H22:H23)</f>
        <v>1836052</v>
      </c>
      <c r="I24" s="554"/>
      <c r="J24" s="294"/>
    </row>
    <row r="25" spans="1:9" ht="7.5" customHeight="1" thickBot="1">
      <c r="A25" s="837"/>
      <c r="B25" s="837"/>
      <c r="C25" s="837"/>
      <c r="D25" s="837"/>
      <c r="E25" s="837"/>
      <c r="F25" s="837"/>
      <c r="G25" s="837"/>
      <c r="H25" s="844"/>
      <c r="I25" s="307"/>
    </row>
    <row r="26" ht="7.5" customHeight="1">
      <c r="A26" s="216" t="s">
        <v>161</v>
      </c>
    </row>
    <row r="27" ht="7.5" customHeight="1">
      <c r="A27" s="104" t="s">
        <v>519</v>
      </c>
    </row>
    <row r="28" ht="7.5" customHeight="1">
      <c r="A28" s="38" t="s">
        <v>73</v>
      </c>
    </row>
    <row r="29" ht="9.75" customHeight="1">
      <c r="A29" s="80"/>
    </row>
    <row r="31" spans="1:8" ht="9.75" customHeight="1">
      <c r="A31" s="556"/>
      <c r="H31" s="82"/>
    </row>
    <row r="32" ht="9.75" customHeight="1">
      <c r="H32" s="82"/>
    </row>
    <row r="33" ht="9.75" customHeight="1">
      <c r="H33" s="82"/>
    </row>
    <row r="34" ht="9.75" customHeight="1">
      <c r="H34" s="81"/>
    </row>
    <row r="35" ht="9.75" customHeight="1">
      <c r="H35" s="82"/>
    </row>
    <row r="36" ht="9.75" customHeight="1">
      <c r="H36" s="82"/>
    </row>
    <row r="37" ht="9.75" customHeight="1">
      <c r="H37" s="82"/>
    </row>
    <row r="38" ht="9.75" customHeight="1">
      <c r="H38" s="81"/>
    </row>
    <row r="39" ht="9.75" customHeight="1">
      <c r="H39" s="82"/>
    </row>
    <row r="40" ht="9.75" customHeight="1">
      <c r="H40" s="82"/>
    </row>
    <row r="41" ht="9.75" customHeight="1">
      <c r="H41" s="82"/>
    </row>
    <row r="42" ht="9.75" customHeight="1">
      <c r="H42" s="82"/>
    </row>
    <row r="43" ht="9.75" customHeight="1">
      <c r="H43" s="82"/>
    </row>
    <row r="44" ht="9.75" customHeight="1">
      <c r="H44" s="82"/>
    </row>
    <row r="45" ht="9.75" customHeight="1">
      <c r="H45" s="82"/>
    </row>
    <row r="46" ht="9.75" customHeight="1">
      <c r="H46" s="81"/>
    </row>
    <row r="47" ht="9.75" customHeight="1">
      <c r="H47" s="81"/>
    </row>
  </sheetData>
  <sheetProtection/>
  <mergeCells count="2">
    <mergeCell ref="A1:H1"/>
    <mergeCell ref="A2:H2"/>
  </mergeCells>
  <printOptions/>
  <pageMargins left="0.5905511811023623" right="0.5905511811023623" top="0.7874015748031497" bottom="0.7874015748031497"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R32"/>
  <sheetViews>
    <sheetView zoomScale="140" zoomScaleNormal="140" zoomScalePageLayoutView="0" workbookViewId="0" topLeftCell="A1">
      <selection activeCell="A1" sqref="A1:H1"/>
    </sheetView>
  </sheetViews>
  <sheetFormatPr defaultColWidth="11.421875" defaultRowHeight="9.75" customHeight="1"/>
  <cols>
    <col min="1" max="1" width="23.7109375" style="72" customWidth="1"/>
    <col min="2" max="6" width="6.7109375" style="72" customWidth="1"/>
    <col min="7" max="7" width="6.8515625" style="72" customWidth="1"/>
    <col min="8" max="8" width="10.28125" style="73" bestFit="1" customWidth="1"/>
    <col min="9" max="9" width="6.7109375" style="300" customWidth="1"/>
    <col min="10" max="10" width="34.00390625" style="282" customWidth="1"/>
    <col min="11" max="11" width="24.140625" style="282" customWidth="1"/>
    <col min="12" max="12" width="11.421875" style="282" customWidth="1"/>
    <col min="13" max="16384" width="11.421875" style="72" customWidth="1"/>
  </cols>
  <sheetData>
    <row r="1" spans="1:8" ht="15" customHeight="1">
      <c r="A1" s="1000" t="s">
        <v>163</v>
      </c>
      <c r="B1" s="1000"/>
      <c r="C1" s="1000"/>
      <c r="D1" s="1000"/>
      <c r="E1" s="1000"/>
      <c r="F1" s="1000"/>
      <c r="G1" s="1000"/>
      <c r="H1" s="1000"/>
    </row>
    <row r="2" spans="1:18" ht="9.75" customHeight="1">
      <c r="A2" s="1002" t="s">
        <v>722</v>
      </c>
      <c r="B2" s="1002"/>
      <c r="C2" s="1002"/>
      <c r="D2" s="1002"/>
      <c r="E2" s="1002"/>
      <c r="F2" s="1002"/>
      <c r="G2" s="1002"/>
      <c r="H2" s="1002"/>
      <c r="L2" s="295"/>
      <c r="M2" s="99"/>
      <c r="N2" s="99"/>
      <c r="O2" s="99"/>
      <c r="P2" s="99"/>
      <c r="Q2" s="99"/>
      <c r="R2" s="99"/>
    </row>
    <row r="3" spans="1:18" ht="7.5" customHeight="1">
      <c r="A3" s="75"/>
      <c r="B3" s="76"/>
      <c r="L3" s="295"/>
      <c r="M3" s="99"/>
      <c r="N3" s="99"/>
      <c r="O3" s="99"/>
      <c r="P3" s="99"/>
      <c r="Q3" s="99"/>
      <c r="R3" s="99"/>
    </row>
    <row r="4" spans="1:18" ht="19.5" customHeight="1">
      <c r="A4" s="77"/>
      <c r="B4" s="26" t="s">
        <v>521</v>
      </c>
      <c r="C4" s="26" t="s">
        <v>531</v>
      </c>
      <c r="D4" s="26" t="s">
        <v>523</v>
      </c>
      <c r="E4" s="26" t="s">
        <v>524</v>
      </c>
      <c r="F4" s="26" t="s">
        <v>525</v>
      </c>
      <c r="G4" s="27" t="s">
        <v>532</v>
      </c>
      <c r="H4" s="78" t="s">
        <v>527</v>
      </c>
      <c r="L4" s="295"/>
      <c r="M4" s="99"/>
      <c r="N4" s="99"/>
      <c r="O4" s="99"/>
      <c r="P4" s="99"/>
      <c r="Q4" s="99"/>
      <c r="R4" s="99"/>
    </row>
    <row r="5" spans="1:18" ht="7.5" customHeight="1">
      <c r="A5" s="97"/>
      <c r="B5" s="93"/>
      <c r="C5" s="93"/>
      <c r="D5" s="93"/>
      <c r="E5" s="93"/>
      <c r="F5" s="93"/>
      <c r="G5" s="93"/>
      <c r="H5" s="93"/>
      <c r="L5" s="295"/>
      <c r="M5" s="99"/>
      <c r="N5" s="99"/>
      <c r="O5" s="99"/>
      <c r="P5" s="99"/>
      <c r="Q5" s="99"/>
      <c r="R5" s="99"/>
    </row>
    <row r="6" spans="1:18" ht="7.5" customHeight="1">
      <c r="A6" s="845" t="s">
        <v>570</v>
      </c>
      <c r="B6" s="852">
        <f aca="true" t="shared" si="0" ref="B6:H6">SUM(B7:B9)</f>
        <v>16889</v>
      </c>
      <c r="C6" s="852">
        <f t="shared" si="0"/>
        <v>11467</v>
      </c>
      <c r="D6" s="852">
        <f t="shared" si="0"/>
        <v>2727</v>
      </c>
      <c r="E6" s="852">
        <f t="shared" si="0"/>
        <v>7686.999999999999</v>
      </c>
      <c r="F6" s="852">
        <f t="shared" si="0"/>
        <v>7227.999999999999</v>
      </c>
      <c r="G6" s="852">
        <f t="shared" si="0"/>
        <v>45998</v>
      </c>
      <c r="H6" s="852">
        <f t="shared" si="0"/>
        <v>906004</v>
      </c>
      <c r="I6" s="303"/>
      <c r="L6" s="295"/>
      <c r="M6" s="99"/>
      <c r="N6" s="99"/>
      <c r="O6" s="99"/>
      <c r="P6" s="99"/>
      <c r="Q6" s="99"/>
      <c r="R6" s="99"/>
    </row>
    <row r="7" spans="1:18" ht="7.5" customHeight="1">
      <c r="A7" s="150" t="s">
        <v>501</v>
      </c>
      <c r="B7" s="29">
        <v>1420</v>
      </c>
      <c r="C7" s="29">
        <v>1280</v>
      </c>
      <c r="D7" s="29">
        <v>268</v>
      </c>
      <c r="E7" s="29">
        <v>824</v>
      </c>
      <c r="F7" s="29">
        <v>708</v>
      </c>
      <c r="G7" s="100">
        <v>4500</v>
      </c>
      <c r="H7" s="29">
        <v>73720</v>
      </c>
      <c r="I7" s="303"/>
      <c r="L7" s="296"/>
      <c r="M7" s="101"/>
      <c r="N7" s="101"/>
      <c r="O7" s="101"/>
      <c r="P7" s="102"/>
      <c r="Q7" s="102"/>
      <c r="R7" s="102"/>
    </row>
    <row r="8" spans="1:18" ht="7.5" customHeight="1">
      <c r="A8" s="150" t="s">
        <v>502</v>
      </c>
      <c r="B8" s="29">
        <v>11079</v>
      </c>
      <c r="C8" s="29">
        <v>7080</v>
      </c>
      <c r="D8" s="29">
        <v>1697</v>
      </c>
      <c r="E8" s="29">
        <v>4789.999999999999</v>
      </c>
      <c r="F8" s="29">
        <v>4220.999999999999</v>
      </c>
      <c r="G8" s="100">
        <v>28867</v>
      </c>
      <c r="H8" s="29">
        <v>576141</v>
      </c>
      <c r="I8" s="303"/>
      <c r="L8" s="297"/>
      <c r="M8" s="103"/>
      <c r="N8" s="103"/>
      <c r="O8" s="103"/>
      <c r="P8" s="86"/>
      <c r="Q8" s="86"/>
      <c r="R8" s="86"/>
    </row>
    <row r="9" spans="1:18" ht="7.5" customHeight="1">
      <c r="A9" s="150" t="s">
        <v>503</v>
      </c>
      <c r="B9" s="29">
        <v>4390</v>
      </c>
      <c r="C9" s="29">
        <v>3107</v>
      </c>
      <c r="D9" s="29">
        <v>761.9999999999999</v>
      </c>
      <c r="E9" s="29">
        <v>2073</v>
      </c>
      <c r="F9" s="29">
        <v>2299</v>
      </c>
      <c r="G9" s="100">
        <v>12631</v>
      </c>
      <c r="H9" s="29">
        <v>256143</v>
      </c>
      <c r="I9" s="303"/>
      <c r="L9" s="297"/>
      <c r="M9" s="103"/>
      <c r="N9" s="103"/>
      <c r="O9" s="103"/>
      <c r="P9" s="86"/>
      <c r="Q9" s="86"/>
      <c r="R9" s="86"/>
    </row>
    <row r="10" spans="1:18" ht="7.5" customHeight="1">
      <c r="A10" s="845" t="s">
        <v>571</v>
      </c>
      <c r="B10" s="852">
        <f aca="true" t="shared" si="1" ref="B10:H10">SUM(B11:B13)</f>
        <v>18728</v>
      </c>
      <c r="C10" s="852">
        <f t="shared" si="1"/>
        <v>14028</v>
      </c>
      <c r="D10" s="852">
        <f t="shared" si="1"/>
        <v>3214</v>
      </c>
      <c r="E10" s="852">
        <f t="shared" si="1"/>
        <v>9278</v>
      </c>
      <c r="F10" s="852">
        <f t="shared" si="1"/>
        <v>9666</v>
      </c>
      <c r="G10" s="852">
        <f t="shared" si="1"/>
        <v>54914</v>
      </c>
      <c r="H10" s="852">
        <f t="shared" si="1"/>
        <v>930049</v>
      </c>
      <c r="I10" s="303"/>
      <c r="K10" s="298"/>
      <c r="L10" s="297"/>
      <c r="M10" s="103"/>
      <c r="N10" s="103"/>
      <c r="O10" s="103"/>
      <c r="P10" s="86"/>
      <c r="Q10" s="86"/>
      <c r="R10" s="86"/>
    </row>
    <row r="11" spans="1:18" ht="7.5" customHeight="1">
      <c r="A11" s="150" t="s">
        <v>501</v>
      </c>
      <c r="B11" s="29">
        <v>1642</v>
      </c>
      <c r="C11" s="29">
        <v>1394</v>
      </c>
      <c r="D11" s="29">
        <v>299.99999999999994</v>
      </c>
      <c r="E11" s="29">
        <v>941</v>
      </c>
      <c r="F11" s="29">
        <v>871</v>
      </c>
      <c r="G11" s="100">
        <v>5148</v>
      </c>
      <c r="H11" s="557">
        <v>73033</v>
      </c>
      <c r="I11" s="303"/>
      <c r="K11" s="298"/>
      <c r="L11" s="297"/>
      <c r="M11" s="103"/>
      <c r="N11" s="103"/>
      <c r="O11" s="103"/>
      <c r="P11" s="86"/>
      <c r="Q11" s="86"/>
      <c r="R11" s="86"/>
    </row>
    <row r="12" spans="1:18" ht="7.5" customHeight="1">
      <c r="A12" s="150" t="s">
        <v>502</v>
      </c>
      <c r="B12" s="29">
        <v>11749</v>
      </c>
      <c r="C12" s="29">
        <v>8328</v>
      </c>
      <c r="D12" s="29">
        <v>1975</v>
      </c>
      <c r="E12" s="29">
        <v>5691</v>
      </c>
      <c r="F12" s="29">
        <v>5347</v>
      </c>
      <c r="G12" s="100">
        <v>33090</v>
      </c>
      <c r="H12" s="557">
        <v>574785</v>
      </c>
      <c r="I12" s="303"/>
      <c r="K12" s="298"/>
      <c r="L12" s="297"/>
      <c r="M12" s="103"/>
      <c r="N12" s="103"/>
      <c r="O12" s="103"/>
      <c r="P12" s="86"/>
      <c r="Q12" s="86"/>
      <c r="R12" s="86"/>
    </row>
    <row r="13" spans="1:18" ht="7.5" customHeight="1">
      <c r="A13" s="150" t="s">
        <v>503</v>
      </c>
      <c r="B13" s="29">
        <v>5337</v>
      </c>
      <c r="C13" s="29">
        <v>4306</v>
      </c>
      <c r="D13" s="29">
        <v>939</v>
      </c>
      <c r="E13" s="29">
        <v>2646</v>
      </c>
      <c r="F13" s="29">
        <v>3448</v>
      </c>
      <c r="G13" s="100">
        <v>16676</v>
      </c>
      <c r="H13" s="557">
        <v>282231</v>
      </c>
      <c r="I13" s="303"/>
      <c r="K13" s="298"/>
      <c r="L13" s="297"/>
      <c r="M13" s="103"/>
      <c r="N13" s="103"/>
      <c r="O13" s="103"/>
      <c r="P13" s="86"/>
      <c r="Q13" s="86"/>
      <c r="R13" s="86"/>
    </row>
    <row r="14" spans="1:18" ht="7.5" customHeight="1">
      <c r="A14" s="853" t="s">
        <v>587</v>
      </c>
      <c r="B14" s="852">
        <f aca="true" t="shared" si="2" ref="B14:H14">B6+B10</f>
        <v>35617</v>
      </c>
      <c r="C14" s="852">
        <f t="shared" si="2"/>
        <v>25495</v>
      </c>
      <c r="D14" s="852">
        <f t="shared" si="2"/>
        <v>5941</v>
      </c>
      <c r="E14" s="852">
        <f t="shared" si="2"/>
        <v>16965</v>
      </c>
      <c r="F14" s="852">
        <f t="shared" si="2"/>
        <v>16894</v>
      </c>
      <c r="G14" s="852">
        <f t="shared" si="2"/>
        <v>100912</v>
      </c>
      <c r="H14" s="852">
        <f t="shared" si="2"/>
        <v>1836053</v>
      </c>
      <c r="I14" s="303"/>
      <c r="K14" s="298"/>
      <c r="L14" s="297"/>
      <c r="M14" s="103"/>
      <c r="N14" s="103"/>
      <c r="O14" s="103"/>
      <c r="P14" s="86"/>
      <c r="Q14" s="86"/>
      <c r="R14" s="86"/>
    </row>
    <row r="15" spans="1:18" ht="7.5" customHeight="1">
      <c r="A15" s="150" t="s">
        <v>501</v>
      </c>
      <c r="B15" s="67">
        <f>B7+B11</f>
        <v>3062</v>
      </c>
      <c r="C15" s="67">
        <f aca="true" t="shared" si="3" ref="C15:H15">C7+C11</f>
        <v>2674</v>
      </c>
      <c r="D15" s="67">
        <f t="shared" si="3"/>
        <v>568</v>
      </c>
      <c r="E15" s="67">
        <f t="shared" si="3"/>
        <v>1765</v>
      </c>
      <c r="F15" s="67">
        <f t="shared" si="3"/>
        <v>1579</v>
      </c>
      <c r="G15" s="67">
        <f t="shared" si="3"/>
        <v>9648</v>
      </c>
      <c r="H15" s="67">
        <f t="shared" si="3"/>
        <v>146753</v>
      </c>
      <c r="I15" s="303"/>
      <c r="K15" s="298"/>
      <c r="L15" s="297"/>
      <c r="M15" s="103"/>
      <c r="N15" s="103"/>
      <c r="O15" s="103"/>
      <c r="P15" s="86"/>
      <c r="Q15" s="86"/>
      <c r="R15" s="86"/>
    </row>
    <row r="16" spans="1:18" ht="7.5" customHeight="1">
      <c r="A16" s="150" t="s">
        <v>502</v>
      </c>
      <c r="B16" s="67">
        <f aca="true" t="shared" si="4" ref="B16:H17">B8+B12</f>
        <v>22828</v>
      </c>
      <c r="C16" s="67">
        <f t="shared" si="4"/>
        <v>15408</v>
      </c>
      <c r="D16" s="67">
        <f t="shared" si="4"/>
        <v>3672</v>
      </c>
      <c r="E16" s="67">
        <f t="shared" si="4"/>
        <v>10481</v>
      </c>
      <c r="F16" s="67">
        <f t="shared" si="4"/>
        <v>9568</v>
      </c>
      <c r="G16" s="67">
        <f t="shared" si="4"/>
        <v>61957</v>
      </c>
      <c r="H16" s="67">
        <f>H8+H12</f>
        <v>1150926</v>
      </c>
      <c r="I16" s="303"/>
      <c r="K16" s="298"/>
      <c r="L16" s="297"/>
      <c r="M16" s="103"/>
      <c r="N16" s="103"/>
      <c r="O16" s="103"/>
      <c r="P16" s="86"/>
      <c r="Q16" s="86"/>
      <c r="R16" s="86"/>
    </row>
    <row r="17" spans="1:9" ht="7.5" customHeight="1">
      <c r="A17" s="150" t="s">
        <v>503</v>
      </c>
      <c r="B17" s="67">
        <f t="shared" si="4"/>
        <v>9727</v>
      </c>
      <c r="C17" s="67">
        <f t="shared" si="4"/>
        <v>7413</v>
      </c>
      <c r="D17" s="67">
        <f t="shared" si="4"/>
        <v>1701</v>
      </c>
      <c r="E17" s="67">
        <f t="shared" si="4"/>
        <v>4719</v>
      </c>
      <c r="F17" s="67">
        <f t="shared" si="4"/>
        <v>5747</v>
      </c>
      <c r="G17" s="67">
        <f t="shared" si="4"/>
        <v>29307</v>
      </c>
      <c r="H17" s="67">
        <f t="shared" si="4"/>
        <v>538374</v>
      </c>
      <c r="I17" s="303"/>
    </row>
    <row r="18" spans="1:8" ht="7.5" customHeight="1" thickBot="1">
      <c r="A18" s="837"/>
      <c r="B18" s="855"/>
      <c r="C18" s="856"/>
      <c r="D18" s="856"/>
      <c r="E18" s="856"/>
      <c r="F18" s="857"/>
      <c r="G18" s="857"/>
      <c r="H18" s="857"/>
    </row>
    <row r="19" spans="1:8" ht="7.5" customHeight="1">
      <c r="A19" s="216" t="s">
        <v>724</v>
      </c>
      <c r="B19" s="103"/>
      <c r="C19" s="103"/>
      <c r="D19" s="103"/>
      <c r="E19" s="103"/>
      <c r="F19" s="86"/>
      <c r="G19" s="86"/>
      <c r="H19" s="86"/>
    </row>
    <row r="20" ht="7.5" customHeight="1">
      <c r="A20" s="104" t="s">
        <v>519</v>
      </c>
    </row>
    <row r="21" ht="7.5" customHeight="1"/>
    <row r="22" ht="7.5" customHeight="1">
      <c r="H22" s="82"/>
    </row>
    <row r="23" ht="7.5" customHeight="1">
      <c r="H23" s="81"/>
    </row>
    <row r="24" ht="7.5" customHeight="1">
      <c r="H24" s="82"/>
    </row>
    <row r="25" ht="7.5" customHeight="1">
      <c r="H25" s="82"/>
    </row>
    <row r="26" ht="7.5" customHeight="1">
      <c r="H26" s="82"/>
    </row>
    <row r="27" ht="7.5" customHeight="1">
      <c r="H27" s="82"/>
    </row>
    <row r="28" ht="7.5" customHeight="1">
      <c r="H28" s="82"/>
    </row>
    <row r="29" ht="7.5" customHeight="1">
      <c r="H29" s="82"/>
    </row>
    <row r="30" ht="7.5" customHeight="1">
      <c r="H30" s="82"/>
    </row>
    <row r="31" ht="7.5" customHeight="1">
      <c r="H31" s="81"/>
    </row>
    <row r="32" ht="9.75" customHeight="1">
      <c r="H32" s="81"/>
    </row>
  </sheetData>
  <sheetProtection/>
  <mergeCells count="2">
    <mergeCell ref="A1:H1"/>
    <mergeCell ref="A2:H2"/>
  </mergeCells>
  <printOptions/>
  <pageMargins left="0.5905511811023623" right="0.5905511811023623" top="0.7874015748031497" bottom="0.7874015748031497"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J46"/>
  <sheetViews>
    <sheetView zoomScale="140" zoomScaleNormal="140" zoomScalePageLayoutView="0" workbookViewId="0" topLeftCell="A1">
      <selection activeCell="A1" sqref="A1:H1"/>
    </sheetView>
  </sheetViews>
  <sheetFormatPr defaultColWidth="11.421875" defaultRowHeight="9.75" customHeight="1"/>
  <cols>
    <col min="1" max="1" width="24.57421875" style="72" customWidth="1"/>
    <col min="2" max="2" width="6.7109375" style="72" customWidth="1"/>
    <col min="3" max="3" width="6.140625" style="72" bestFit="1" customWidth="1"/>
    <col min="4" max="4" width="6.421875" style="72" bestFit="1" customWidth="1"/>
    <col min="5" max="5" width="6.421875" style="72" customWidth="1"/>
    <col min="6" max="6" width="6.7109375" style="72" customWidth="1"/>
    <col min="7" max="7" width="6.8515625" style="72" customWidth="1"/>
    <col min="8" max="8" width="9.57421875" style="73" bestFit="1" customWidth="1"/>
    <col min="9" max="9" width="6.7109375" style="300" customWidth="1"/>
    <col min="10" max="10" width="34.00390625" style="282" customWidth="1"/>
    <col min="11" max="11" width="24.140625" style="282" customWidth="1"/>
    <col min="12" max="12" width="11.421875" style="282" customWidth="1"/>
    <col min="13" max="16384" width="11.421875" style="72" customWidth="1"/>
  </cols>
  <sheetData>
    <row r="1" spans="1:8" ht="15" customHeight="1">
      <c r="A1" s="1000" t="s">
        <v>507</v>
      </c>
      <c r="B1" s="1000"/>
      <c r="C1" s="1000"/>
      <c r="D1" s="1000"/>
      <c r="E1" s="1000"/>
      <c r="F1" s="1000"/>
      <c r="G1" s="1000"/>
      <c r="H1" s="1000"/>
    </row>
    <row r="2" spans="1:8" ht="9.75" customHeight="1">
      <c r="A2" s="1002" t="s">
        <v>723</v>
      </c>
      <c r="B2" s="1002"/>
      <c r="C2" s="1002"/>
      <c r="D2" s="1002"/>
      <c r="E2" s="1002"/>
      <c r="F2" s="1002"/>
      <c r="G2" s="1002"/>
      <c r="H2" s="1002"/>
    </row>
    <row r="3" spans="1:2" ht="7.5" customHeight="1">
      <c r="A3" s="75"/>
      <c r="B3" s="76"/>
    </row>
    <row r="4" spans="1:10" ht="19.5" customHeight="1">
      <c r="A4" s="77"/>
      <c r="B4" s="26" t="s">
        <v>521</v>
      </c>
      <c r="C4" s="26" t="s">
        <v>531</v>
      </c>
      <c r="D4" s="26" t="s">
        <v>523</v>
      </c>
      <c r="E4" s="26" t="s">
        <v>524</v>
      </c>
      <c r="F4" s="26" t="s">
        <v>525</v>
      </c>
      <c r="G4" s="27" t="s">
        <v>532</v>
      </c>
      <c r="H4" s="107" t="s">
        <v>527</v>
      </c>
      <c r="J4" s="206"/>
    </row>
    <row r="5" spans="1:2" ht="7.5" customHeight="1">
      <c r="A5" s="75"/>
      <c r="B5" s="76"/>
    </row>
    <row r="6" spans="1:10" ht="7.5" customHeight="1">
      <c r="A6" s="830" t="s">
        <v>691</v>
      </c>
      <c r="B6" s="852">
        <f>SUM(B7:B14)</f>
        <v>124112</v>
      </c>
      <c r="C6" s="852">
        <f aca="true" t="shared" si="0" ref="C6:H6">SUM(C7:C14)</f>
        <v>70224</v>
      </c>
      <c r="D6" s="852">
        <f t="shared" si="0"/>
        <v>23324</v>
      </c>
      <c r="E6" s="852">
        <f t="shared" si="0"/>
        <v>52504</v>
      </c>
      <c r="F6" s="852">
        <f t="shared" si="0"/>
        <v>53748</v>
      </c>
      <c r="G6" s="852">
        <f t="shared" si="0"/>
        <v>323912</v>
      </c>
      <c r="H6" s="852">
        <f t="shared" si="0"/>
        <v>5879959</v>
      </c>
      <c r="J6" s="206"/>
    </row>
    <row r="7" spans="1:10" ht="7.5" customHeight="1">
      <c r="A7" s="111" t="s">
        <v>38</v>
      </c>
      <c r="B7" s="479">
        <v>31856</v>
      </c>
      <c r="C7" s="479">
        <v>18677</v>
      </c>
      <c r="D7" s="479">
        <v>6366</v>
      </c>
      <c r="E7" s="479">
        <v>12252</v>
      </c>
      <c r="F7" s="479">
        <v>17102</v>
      </c>
      <c r="G7" s="109">
        <f>SUM(B7:F7)</f>
        <v>86253</v>
      </c>
      <c r="H7" s="479">
        <v>1504595</v>
      </c>
      <c r="J7" s="206"/>
    </row>
    <row r="8" spans="1:10" ht="7.5" customHeight="1">
      <c r="A8" s="23" t="s">
        <v>39</v>
      </c>
      <c r="B8" s="479">
        <v>9316</v>
      </c>
      <c r="C8" s="479">
        <v>4721</v>
      </c>
      <c r="D8" s="479">
        <v>2222</v>
      </c>
      <c r="E8" s="479">
        <v>3895</v>
      </c>
      <c r="F8" s="479">
        <v>4475</v>
      </c>
      <c r="G8" s="109">
        <f aca="true" t="shared" si="1" ref="G8:G14">SUM(B8:F8)</f>
        <v>24629</v>
      </c>
      <c r="H8" s="479">
        <v>367979</v>
      </c>
      <c r="J8" s="206"/>
    </row>
    <row r="9" spans="1:8" ht="7.5" customHeight="1">
      <c r="A9" s="23" t="s">
        <v>40</v>
      </c>
      <c r="B9" s="99">
        <v>2396</v>
      </c>
      <c r="C9" s="99">
        <v>1562</v>
      </c>
      <c r="D9" s="99">
        <v>509</v>
      </c>
      <c r="E9" s="99">
        <v>1230</v>
      </c>
      <c r="F9" s="99">
        <v>1074</v>
      </c>
      <c r="G9" s="109">
        <f t="shared" si="1"/>
        <v>6771</v>
      </c>
      <c r="H9" s="99">
        <v>153037</v>
      </c>
    </row>
    <row r="10" spans="1:8" ht="7.5" customHeight="1">
      <c r="A10" s="23" t="s">
        <v>504</v>
      </c>
      <c r="B10" s="479">
        <v>8817</v>
      </c>
      <c r="C10" s="479">
        <v>4625</v>
      </c>
      <c r="D10" s="479">
        <v>1551</v>
      </c>
      <c r="E10" s="479">
        <v>3580</v>
      </c>
      <c r="F10" s="479">
        <v>3613</v>
      </c>
      <c r="G10" s="109">
        <f t="shared" si="1"/>
        <v>22186</v>
      </c>
      <c r="H10" s="479">
        <v>498678</v>
      </c>
    </row>
    <row r="11" spans="1:8" ht="7.5" customHeight="1">
      <c r="A11" s="23" t="s">
        <v>41</v>
      </c>
      <c r="B11" s="479">
        <v>4469</v>
      </c>
      <c r="C11" s="479">
        <v>2210</v>
      </c>
      <c r="D11" s="479">
        <v>692</v>
      </c>
      <c r="E11" s="479">
        <v>1429</v>
      </c>
      <c r="F11" s="479">
        <v>2041</v>
      </c>
      <c r="G11" s="109">
        <f t="shared" si="1"/>
        <v>10841</v>
      </c>
      <c r="H11" s="479">
        <v>180582</v>
      </c>
    </row>
    <row r="12" spans="1:8" ht="7.5" customHeight="1">
      <c r="A12" s="23" t="s">
        <v>42</v>
      </c>
      <c r="B12" s="479">
        <v>5616</v>
      </c>
      <c r="C12" s="479">
        <v>3186</v>
      </c>
      <c r="D12" s="479">
        <v>874</v>
      </c>
      <c r="E12" s="479">
        <v>2474</v>
      </c>
      <c r="F12" s="479">
        <v>1746</v>
      </c>
      <c r="G12" s="109">
        <f t="shared" si="1"/>
        <v>13896</v>
      </c>
      <c r="H12" s="479">
        <v>298172</v>
      </c>
    </row>
    <row r="13" spans="1:8" ht="7.5" customHeight="1">
      <c r="A13" s="23" t="s">
        <v>43</v>
      </c>
      <c r="B13" s="479">
        <v>11245</v>
      </c>
      <c r="C13" s="479">
        <v>6971</v>
      </c>
      <c r="D13" s="479">
        <v>2437</v>
      </c>
      <c r="E13" s="479">
        <v>5187</v>
      </c>
      <c r="F13" s="479">
        <v>4894</v>
      </c>
      <c r="G13" s="109">
        <f t="shared" si="1"/>
        <v>30734</v>
      </c>
      <c r="H13" s="479">
        <v>463484</v>
      </c>
    </row>
    <row r="14" spans="1:8" ht="7.5" customHeight="1">
      <c r="A14" s="23" t="s">
        <v>505</v>
      </c>
      <c r="B14" s="479">
        <v>50397</v>
      </c>
      <c r="C14" s="479">
        <v>28272</v>
      </c>
      <c r="D14" s="479">
        <v>8673</v>
      </c>
      <c r="E14" s="479">
        <v>22457</v>
      </c>
      <c r="F14" s="479">
        <v>18803</v>
      </c>
      <c r="G14" s="109">
        <f t="shared" si="1"/>
        <v>128602</v>
      </c>
      <c r="H14" s="479">
        <v>2413432</v>
      </c>
    </row>
    <row r="15" spans="1:8" ht="7.5" customHeight="1">
      <c r="A15" s="23"/>
      <c r="B15" s="108"/>
      <c r="C15" s="108"/>
      <c r="D15" s="108"/>
      <c r="E15" s="108"/>
      <c r="F15" s="108"/>
      <c r="G15" s="109"/>
      <c r="H15" s="92"/>
    </row>
    <row r="16" spans="1:8" ht="7.5" customHeight="1">
      <c r="A16" s="830" t="s">
        <v>692</v>
      </c>
      <c r="B16" s="852">
        <f aca="true" t="shared" si="2" ref="B16:H16">SUM(B17:B19)+SUM(B21:B23)</f>
        <v>116043</v>
      </c>
      <c r="C16" s="852">
        <f t="shared" si="2"/>
        <v>64420</v>
      </c>
      <c r="D16" s="852">
        <f t="shared" si="2"/>
        <v>21300</v>
      </c>
      <c r="E16" s="852">
        <f t="shared" si="2"/>
        <v>47977</v>
      </c>
      <c r="F16" s="852">
        <f t="shared" si="2"/>
        <v>49173</v>
      </c>
      <c r="G16" s="852">
        <f t="shared" si="2"/>
        <v>298913</v>
      </c>
      <c r="H16" s="852">
        <f t="shared" si="2"/>
        <v>5453165</v>
      </c>
    </row>
    <row r="17" spans="1:8" ht="7.5" customHeight="1">
      <c r="A17" s="23" t="s">
        <v>44</v>
      </c>
      <c r="B17" s="479">
        <v>26076</v>
      </c>
      <c r="C17" s="479">
        <v>13482</v>
      </c>
      <c r="D17" s="479">
        <v>4868</v>
      </c>
      <c r="E17" s="479">
        <v>9031</v>
      </c>
      <c r="F17" s="479">
        <v>13039</v>
      </c>
      <c r="G17" s="109">
        <f aca="true" t="shared" si="3" ref="G17:G23">SUM(B17:F17)</f>
        <v>66496</v>
      </c>
      <c r="H17" s="479">
        <v>1125200</v>
      </c>
    </row>
    <row r="18" spans="1:8" ht="7.5" customHeight="1">
      <c r="A18" s="23" t="s">
        <v>45</v>
      </c>
      <c r="B18" s="479">
        <v>9453</v>
      </c>
      <c r="C18" s="479">
        <v>5697</v>
      </c>
      <c r="D18" s="479">
        <v>2331</v>
      </c>
      <c r="E18" s="479">
        <v>4145</v>
      </c>
      <c r="F18" s="479">
        <v>4361</v>
      </c>
      <c r="G18" s="109">
        <f t="shared" si="3"/>
        <v>25987</v>
      </c>
      <c r="H18" s="479">
        <v>440147</v>
      </c>
    </row>
    <row r="19" spans="1:8" ht="7.5" customHeight="1">
      <c r="A19" s="23" t="s">
        <v>506</v>
      </c>
      <c r="B19" s="479">
        <v>9811</v>
      </c>
      <c r="C19" s="479">
        <v>6177</v>
      </c>
      <c r="D19" s="479">
        <v>2001</v>
      </c>
      <c r="E19" s="479">
        <v>4199</v>
      </c>
      <c r="F19" s="479">
        <v>5193</v>
      </c>
      <c r="G19" s="109">
        <f t="shared" si="3"/>
        <v>27381</v>
      </c>
      <c r="H19" s="479">
        <v>405561</v>
      </c>
    </row>
    <row r="20" spans="1:8" ht="7.5" customHeight="1">
      <c r="A20" s="112" t="s">
        <v>46</v>
      </c>
      <c r="B20" s="558">
        <v>6116</v>
      </c>
      <c r="C20" s="558">
        <v>3952</v>
      </c>
      <c r="D20" s="558">
        <v>1307</v>
      </c>
      <c r="E20" s="558">
        <v>2828</v>
      </c>
      <c r="F20" s="558">
        <v>3345</v>
      </c>
      <c r="G20" s="559">
        <f t="shared" si="3"/>
        <v>17548</v>
      </c>
      <c r="H20" s="558">
        <v>253557</v>
      </c>
    </row>
    <row r="21" spans="1:8" ht="7.5" customHeight="1">
      <c r="A21" s="23" t="s">
        <v>47</v>
      </c>
      <c r="B21" s="479">
        <v>47418</v>
      </c>
      <c r="C21" s="479">
        <v>27762</v>
      </c>
      <c r="D21" s="479">
        <v>7935</v>
      </c>
      <c r="E21" s="479">
        <v>19553</v>
      </c>
      <c r="F21" s="479">
        <v>18124</v>
      </c>
      <c r="G21" s="109">
        <f t="shared" si="3"/>
        <v>120792</v>
      </c>
      <c r="H21" s="479">
        <v>2397089</v>
      </c>
    </row>
    <row r="22" spans="1:8" ht="7.5" customHeight="1">
      <c r="A22" s="23" t="s">
        <v>48</v>
      </c>
      <c r="B22" s="479">
        <v>10474</v>
      </c>
      <c r="C22" s="479">
        <v>4990</v>
      </c>
      <c r="D22" s="479">
        <v>2006</v>
      </c>
      <c r="E22" s="479">
        <v>5799</v>
      </c>
      <c r="F22" s="479">
        <v>3754</v>
      </c>
      <c r="G22" s="109">
        <f t="shared" si="3"/>
        <v>27023</v>
      </c>
      <c r="H22" s="479">
        <v>493892</v>
      </c>
    </row>
    <row r="23" spans="1:8" ht="7.5" customHeight="1">
      <c r="A23" s="23" t="s">
        <v>505</v>
      </c>
      <c r="B23" s="479">
        <v>12811</v>
      </c>
      <c r="C23" s="479">
        <v>6312</v>
      </c>
      <c r="D23" s="479">
        <v>2159</v>
      </c>
      <c r="E23" s="479">
        <v>5250</v>
      </c>
      <c r="F23" s="479">
        <v>4702</v>
      </c>
      <c r="G23" s="109">
        <f t="shared" si="3"/>
        <v>31234</v>
      </c>
      <c r="H23" s="479">
        <v>591276</v>
      </c>
    </row>
    <row r="24" spans="1:8" ht="7.5" customHeight="1" thickBot="1">
      <c r="A24" s="858"/>
      <c r="B24" s="859"/>
      <c r="C24" s="859"/>
      <c r="D24" s="859"/>
      <c r="E24" s="859"/>
      <c r="F24" s="859"/>
      <c r="G24" s="860"/>
      <c r="H24" s="861"/>
    </row>
    <row r="25" spans="1:8" ht="7.5" customHeight="1">
      <c r="A25" s="216" t="s">
        <v>161</v>
      </c>
      <c r="B25" s="14"/>
      <c r="C25" s="14"/>
      <c r="D25" s="14"/>
      <c r="E25" s="14"/>
      <c r="F25" s="14"/>
      <c r="G25" s="14"/>
      <c r="H25" s="14"/>
    </row>
    <row r="26" spans="1:8" ht="7.5" customHeight="1">
      <c r="A26" s="160" t="s">
        <v>114</v>
      </c>
      <c r="B26" s="14"/>
      <c r="C26" s="14"/>
      <c r="D26" s="14"/>
      <c r="E26" s="14"/>
      <c r="F26" s="14"/>
      <c r="G26" s="14"/>
      <c r="H26" s="14"/>
    </row>
    <row r="27" spans="1:8" ht="7.5" customHeight="1">
      <c r="A27" s="112"/>
      <c r="B27" s="14"/>
      <c r="C27" s="14"/>
      <c r="D27" s="14"/>
      <c r="E27" s="14"/>
      <c r="F27" s="14"/>
      <c r="G27" s="14"/>
      <c r="H27" s="14"/>
    </row>
    <row r="28" ht="7.5" customHeight="1"/>
    <row r="29" ht="7.5" customHeight="1"/>
    <row r="30" ht="7.5" customHeight="1">
      <c r="H30" s="82"/>
    </row>
    <row r="31" ht="9.75" customHeight="1">
      <c r="H31" s="82"/>
    </row>
    <row r="32" ht="9.75" customHeight="1">
      <c r="H32" s="82"/>
    </row>
    <row r="33" ht="9.75" customHeight="1">
      <c r="H33" s="81"/>
    </row>
    <row r="34" ht="9.75" customHeight="1">
      <c r="H34" s="82"/>
    </row>
    <row r="35" ht="9.75" customHeight="1">
      <c r="H35" s="82"/>
    </row>
    <row r="36" ht="9.75" customHeight="1">
      <c r="H36" s="82"/>
    </row>
    <row r="37" ht="9.75" customHeight="1">
      <c r="H37" s="81"/>
    </row>
    <row r="38" ht="9.75" customHeight="1">
      <c r="H38" s="82"/>
    </row>
    <row r="39" ht="9.75" customHeight="1">
      <c r="H39" s="82"/>
    </row>
    <row r="40" ht="9.75" customHeight="1">
      <c r="H40" s="82"/>
    </row>
    <row r="41" ht="9.75" customHeight="1">
      <c r="H41" s="82"/>
    </row>
    <row r="42" ht="9.75" customHeight="1">
      <c r="H42" s="82"/>
    </row>
    <row r="43" ht="9.75" customHeight="1">
      <c r="H43" s="82"/>
    </row>
    <row r="44" ht="9.75" customHeight="1">
      <c r="H44" s="82"/>
    </row>
    <row r="45" ht="9.75" customHeight="1">
      <c r="H45" s="81"/>
    </row>
    <row r="46" ht="9.75" customHeight="1">
      <c r="H46" s="81"/>
    </row>
  </sheetData>
  <sheetProtection/>
  <mergeCells count="2">
    <mergeCell ref="A1:H1"/>
    <mergeCell ref="A2:H2"/>
  </mergeCells>
  <printOptions/>
  <pageMargins left="0.5905511811023623" right="0.5905511811023623" top="0.7874015748031497" bottom="0.7874015748031497" header="0.31496062992125984" footer="0.3149606299212598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L28"/>
  <sheetViews>
    <sheetView zoomScale="140" zoomScaleNormal="140" zoomScalePageLayoutView="0" workbookViewId="0" topLeftCell="A1">
      <selection activeCell="A25" sqref="A25"/>
    </sheetView>
  </sheetViews>
  <sheetFormatPr defaultColWidth="11.421875" defaultRowHeight="9.75" customHeight="1"/>
  <cols>
    <col min="1" max="1" width="23.7109375" style="72" customWidth="1"/>
    <col min="2" max="6" width="6.7109375" style="72" customWidth="1"/>
    <col min="7" max="7" width="6.8515625" style="72" customWidth="1"/>
    <col min="8" max="8" width="9.7109375" style="73" bestFit="1" customWidth="1"/>
    <col min="9" max="10" width="7.28125" style="282" customWidth="1"/>
    <col min="11" max="11" width="23.57421875" style="282" customWidth="1"/>
    <col min="12" max="12" width="11.421875" style="282" customWidth="1"/>
    <col min="13" max="16384" width="11.421875" style="72" customWidth="1"/>
  </cols>
  <sheetData>
    <row r="1" spans="1:8" ht="15" customHeight="1">
      <c r="A1" s="1000" t="s">
        <v>620</v>
      </c>
      <c r="B1" s="1000"/>
      <c r="C1" s="1000"/>
      <c r="D1" s="1000"/>
      <c r="E1" s="1000"/>
      <c r="F1" s="1000"/>
      <c r="G1" s="1000"/>
      <c r="H1" s="1000"/>
    </row>
    <row r="2" spans="1:12" s="65" customFormat="1" ht="9.75" customHeight="1">
      <c r="A2" s="1002" t="s">
        <v>725</v>
      </c>
      <c r="B2" s="1002"/>
      <c r="C2" s="1002"/>
      <c r="D2" s="1002"/>
      <c r="E2" s="1002"/>
      <c r="F2" s="1002"/>
      <c r="G2" s="1002"/>
      <c r="H2" s="1002"/>
      <c r="I2" s="299"/>
      <c r="J2" s="299"/>
      <c r="K2" s="299"/>
      <c r="L2" s="299"/>
    </row>
    <row r="3" spans="1:2" ht="7.5" customHeight="1">
      <c r="A3" s="75"/>
      <c r="B3" s="76"/>
    </row>
    <row r="4" spans="1:8" ht="19.5" customHeight="1">
      <c r="A4" s="77"/>
      <c r="B4" s="26" t="s">
        <v>521</v>
      </c>
      <c r="C4" s="26" t="s">
        <v>522</v>
      </c>
      <c r="D4" s="26" t="s">
        <v>523</v>
      </c>
      <c r="E4" s="26" t="s">
        <v>524</v>
      </c>
      <c r="F4" s="26" t="s">
        <v>525</v>
      </c>
      <c r="G4" s="27" t="s">
        <v>526</v>
      </c>
      <c r="H4" s="107" t="s">
        <v>535</v>
      </c>
    </row>
    <row r="5" spans="1:8" ht="7.5" customHeight="1">
      <c r="A5" s="97"/>
      <c r="B5" s="148"/>
      <c r="C5" s="148"/>
      <c r="D5" s="148"/>
      <c r="E5" s="148"/>
      <c r="F5" s="148"/>
      <c r="G5" s="148"/>
      <c r="H5" s="148"/>
    </row>
    <row r="6" spans="1:8" ht="7.5" customHeight="1">
      <c r="A6" s="830" t="s">
        <v>618</v>
      </c>
      <c r="B6" s="831">
        <f>B9+B12+B15</f>
        <v>33076</v>
      </c>
      <c r="C6" s="831">
        <f aca="true" t="shared" si="0" ref="C6:H6">C9+C12+C15</f>
        <v>19410</v>
      </c>
      <c r="D6" s="831">
        <f t="shared" si="0"/>
        <v>5072</v>
      </c>
      <c r="E6" s="831">
        <f t="shared" si="0"/>
        <v>14595</v>
      </c>
      <c r="F6" s="831">
        <f t="shared" si="0"/>
        <v>10713</v>
      </c>
      <c r="G6" s="831">
        <f t="shared" si="0"/>
        <v>82866</v>
      </c>
      <c r="H6" s="831">
        <f t="shared" si="0"/>
        <v>1955950</v>
      </c>
    </row>
    <row r="7" spans="1:8" ht="7.5" customHeight="1">
      <c r="A7" s="105" t="s">
        <v>900</v>
      </c>
      <c r="B7" s="226">
        <f>(B6/(SUM('page 7 Démo'!B11:B13)))*1000</f>
        <v>48.83356635922997</v>
      </c>
      <c r="C7" s="226">
        <f>(C6/(SUM('page 7 Démo'!C11:C13)))*1000</f>
        <v>48.32024297041288</v>
      </c>
      <c r="D7" s="226">
        <f>(D6/(SUM('page 7 Démo'!D11:D13)))*1000</f>
        <v>32.387629866605366</v>
      </c>
      <c r="E7" s="226">
        <f>(E6/(SUM('page 7 Démo'!E11:E13)))*1000</f>
        <v>50.16032745981503</v>
      </c>
      <c r="F7" s="226">
        <f>(F6/(SUM('page 7 Démo'!F11:F13)))*1000</f>
        <v>32.306119556465596</v>
      </c>
      <c r="G7" s="680">
        <f>(G6/(SUM('page 7 Démo'!G11:G13)))*1000</f>
        <v>44.59488912627577</v>
      </c>
      <c r="H7" s="226">
        <f>(H6/(SUM('page 7 Démo'!H11:H13)))*1000</f>
        <v>59.195789510129</v>
      </c>
    </row>
    <row r="8" spans="1:8" ht="7.5" customHeight="1">
      <c r="A8" s="105"/>
      <c r="B8" s="190"/>
      <c r="C8" s="190"/>
      <c r="D8" s="190"/>
      <c r="E8" s="190"/>
      <c r="F8" s="190"/>
      <c r="G8" s="224"/>
      <c r="H8" s="190"/>
    </row>
    <row r="9" spans="1:8" ht="7.5" customHeight="1">
      <c r="A9" s="73" t="s">
        <v>221</v>
      </c>
      <c r="B9" s="189">
        <f>SUM(B10:B11)</f>
        <v>3225</v>
      </c>
      <c r="C9" s="189">
        <f aca="true" t="shared" si="1" ref="C9:H9">SUM(C10:C11)</f>
        <v>2162</v>
      </c>
      <c r="D9" s="189">
        <f t="shared" si="1"/>
        <v>553</v>
      </c>
      <c r="E9" s="189">
        <f t="shared" si="1"/>
        <v>1802</v>
      </c>
      <c r="F9" s="189">
        <f t="shared" si="1"/>
        <v>1079</v>
      </c>
      <c r="G9" s="537">
        <f aca="true" t="shared" si="2" ref="G9:G19">SUM(B9:F9)</f>
        <v>8821</v>
      </c>
      <c r="H9" s="189">
        <f t="shared" si="1"/>
        <v>194895</v>
      </c>
    </row>
    <row r="10" spans="1:8" ht="7.5" customHeight="1">
      <c r="A10" s="72" t="s">
        <v>614</v>
      </c>
      <c r="B10" s="536">
        <v>2845</v>
      </c>
      <c r="C10" s="536">
        <v>1910</v>
      </c>
      <c r="D10" s="536">
        <v>481</v>
      </c>
      <c r="E10" s="536">
        <v>1618</v>
      </c>
      <c r="F10" s="536">
        <v>920</v>
      </c>
      <c r="G10" s="537">
        <f t="shared" si="2"/>
        <v>7774</v>
      </c>
      <c r="H10" s="536">
        <v>174218</v>
      </c>
    </row>
    <row r="11" spans="1:8" ht="7.5" customHeight="1">
      <c r="A11" s="72" t="s">
        <v>615</v>
      </c>
      <c r="B11" s="536">
        <v>380</v>
      </c>
      <c r="C11" s="536">
        <v>252</v>
      </c>
      <c r="D11" s="536">
        <v>72</v>
      </c>
      <c r="E11" s="536">
        <v>184</v>
      </c>
      <c r="F11" s="536">
        <v>159</v>
      </c>
      <c r="G11" s="537">
        <f t="shared" si="2"/>
        <v>1047</v>
      </c>
      <c r="H11" s="536">
        <v>20677</v>
      </c>
    </row>
    <row r="12" spans="1:8" ht="7.5" customHeight="1">
      <c r="A12" s="106" t="s">
        <v>222</v>
      </c>
      <c r="B12" s="189">
        <f>SUM(B13:B14)</f>
        <v>20963</v>
      </c>
      <c r="C12" s="189">
        <f aca="true" t="shared" si="3" ref="C12:H12">SUM(C13:C14)</f>
        <v>12027</v>
      </c>
      <c r="D12" s="189">
        <f t="shared" si="3"/>
        <v>2988</v>
      </c>
      <c r="E12" s="189">
        <f t="shared" si="3"/>
        <v>8978</v>
      </c>
      <c r="F12" s="189">
        <f t="shared" si="3"/>
        <v>6043</v>
      </c>
      <c r="G12" s="537">
        <f t="shared" si="2"/>
        <v>50999</v>
      </c>
      <c r="H12" s="189">
        <f t="shared" si="3"/>
        <v>1299655</v>
      </c>
    </row>
    <row r="13" spans="1:8" ht="7.5" customHeight="1">
      <c r="A13" s="15" t="s">
        <v>616</v>
      </c>
      <c r="B13" s="536">
        <v>17431</v>
      </c>
      <c r="C13" s="536">
        <v>9931</v>
      </c>
      <c r="D13" s="536">
        <v>2421</v>
      </c>
      <c r="E13" s="536">
        <v>7412</v>
      </c>
      <c r="F13" s="536">
        <v>4905</v>
      </c>
      <c r="G13" s="537">
        <f t="shared" si="2"/>
        <v>42100</v>
      </c>
      <c r="H13" s="536">
        <v>1097001</v>
      </c>
    </row>
    <row r="14" spans="1:8" ht="7.5" customHeight="1">
      <c r="A14" s="72" t="s">
        <v>617</v>
      </c>
      <c r="B14" s="536">
        <v>3532</v>
      </c>
      <c r="C14" s="536">
        <v>2096</v>
      </c>
      <c r="D14" s="536">
        <v>567</v>
      </c>
      <c r="E14" s="536">
        <v>1566</v>
      </c>
      <c r="F14" s="536">
        <v>1138</v>
      </c>
      <c r="G14" s="537">
        <f t="shared" si="2"/>
        <v>8899</v>
      </c>
      <c r="H14" s="536">
        <v>202654</v>
      </c>
    </row>
    <row r="15" spans="1:8" ht="7.5" customHeight="1">
      <c r="A15" s="73" t="s">
        <v>223</v>
      </c>
      <c r="B15" s="189">
        <f>SUM(B16:B17)</f>
        <v>8888</v>
      </c>
      <c r="C15" s="189">
        <f aca="true" t="shared" si="4" ref="C15:H15">SUM(C16:C17)</f>
        <v>5221</v>
      </c>
      <c r="D15" s="189">
        <f t="shared" si="4"/>
        <v>1531</v>
      </c>
      <c r="E15" s="189">
        <f t="shared" si="4"/>
        <v>3815</v>
      </c>
      <c r="F15" s="189">
        <f t="shared" si="4"/>
        <v>3591</v>
      </c>
      <c r="G15" s="537">
        <f t="shared" si="2"/>
        <v>23046</v>
      </c>
      <c r="H15" s="189">
        <f t="shared" si="4"/>
        <v>461400</v>
      </c>
    </row>
    <row r="16" spans="1:8" ht="7.5" customHeight="1">
      <c r="A16" s="72" t="s">
        <v>726</v>
      </c>
      <c r="B16" s="536">
        <v>7990</v>
      </c>
      <c r="C16" s="536">
        <v>4679</v>
      </c>
      <c r="D16" s="536">
        <v>1357</v>
      </c>
      <c r="E16" s="536">
        <v>3406</v>
      </c>
      <c r="F16" s="536">
        <v>3058</v>
      </c>
      <c r="G16" s="537">
        <f t="shared" si="2"/>
        <v>20490</v>
      </c>
      <c r="H16" s="536">
        <v>419454</v>
      </c>
    </row>
    <row r="17" spans="1:8" ht="7.5" customHeight="1">
      <c r="A17" s="72" t="s">
        <v>727</v>
      </c>
      <c r="B17" s="536">
        <v>898</v>
      </c>
      <c r="C17" s="536">
        <v>542</v>
      </c>
      <c r="D17" s="536">
        <v>174</v>
      </c>
      <c r="E17" s="536">
        <v>409</v>
      </c>
      <c r="F17" s="536">
        <v>533</v>
      </c>
      <c r="G17" s="537">
        <f t="shared" si="2"/>
        <v>2556</v>
      </c>
      <c r="H17" s="536">
        <v>41946</v>
      </c>
    </row>
    <row r="18" spans="2:8" ht="7.5" customHeight="1">
      <c r="B18" s="123"/>
      <c r="C18" s="191"/>
      <c r="D18" s="191"/>
      <c r="E18" s="191"/>
      <c r="F18" s="191"/>
      <c r="G18" s="189"/>
      <c r="H18" s="95"/>
    </row>
    <row r="19" spans="1:8" ht="7.5" customHeight="1">
      <c r="A19" s="830" t="s">
        <v>75</v>
      </c>
      <c r="B19" s="862">
        <v>66358</v>
      </c>
      <c r="C19" s="862">
        <v>42723</v>
      </c>
      <c r="D19" s="862">
        <v>11575</v>
      </c>
      <c r="E19" s="862">
        <v>33044</v>
      </c>
      <c r="F19" s="862">
        <v>22717</v>
      </c>
      <c r="G19" s="863">
        <f t="shared" si="2"/>
        <v>176417</v>
      </c>
      <c r="H19" s="862">
        <v>4158200</v>
      </c>
    </row>
    <row r="20" spans="1:8" ht="7.5" customHeight="1">
      <c r="A20" s="105" t="s">
        <v>901</v>
      </c>
      <c r="B20" s="226">
        <f>B19/'page 7 Démo'!B17*1000</f>
        <v>50.92306594336748</v>
      </c>
      <c r="C20" s="226">
        <f>C19/'page 7 Démo'!C17*1000</f>
        <v>53.557929890672774</v>
      </c>
      <c r="D20" s="226">
        <f>D19/'page 7 Démo'!D17*1000</f>
        <v>37.174780885578755</v>
      </c>
      <c r="E20" s="226">
        <f>E19/'page 7 Démo'!E17*1000</f>
        <v>57.691468318053815</v>
      </c>
      <c r="F20" s="226">
        <f>F19/'page 7 Démo'!F17*1000</f>
        <v>35.20918287479405</v>
      </c>
      <c r="G20" s="680">
        <f>G19/'page 7 Démo'!G17*1000</f>
        <v>48.59786360797755</v>
      </c>
      <c r="H20" s="226">
        <f>H19/'page 7 Démo'!H17*1000</f>
        <v>65.57724415692357</v>
      </c>
    </row>
    <row r="21" spans="1:8" ht="7.5" customHeight="1" thickBot="1">
      <c r="A21" s="837"/>
      <c r="B21" s="837"/>
      <c r="C21" s="837"/>
      <c r="D21" s="837"/>
      <c r="E21" s="837"/>
      <c r="F21" s="837"/>
      <c r="G21" s="837"/>
      <c r="H21" s="844"/>
    </row>
    <row r="22" spans="1:8" ht="7.5" customHeight="1">
      <c r="A22" s="80" t="s">
        <v>619</v>
      </c>
      <c r="B22" s="25"/>
      <c r="C22" s="25"/>
      <c r="D22" s="25"/>
      <c r="E22" s="25"/>
      <c r="F22" s="25"/>
      <c r="G22" s="25"/>
      <c r="H22" s="31"/>
    </row>
    <row r="23" ht="7.5" customHeight="1">
      <c r="A23" s="105" t="s">
        <v>582</v>
      </c>
    </row>
    <row r="24" ht="7.5" customHeight="1">
      <c r="A24" s="105" t="s">
        <v>953</v>
      </c>
    </row>
    <row r="25" ht="7.5" customHeight="1">
      <c r="A25" s="105" t="s">
        <v>583</v>
      </c>
    </row>
    <row r="26" ht="7.5" customHeight="1">
      <c r="A26" s="25"/>
    </row>
    <row r="27" ht="7.5" customHeight="1"/>
    <row r="28" spans="2:8" ht="7.5" customHeight="1">
      <c r="B28" s="115"/>
      <c r="C28" s="115"/>
      <c r="D28" s="115"/>
      <c r="E28" s="115"/>
      <c r="F28" s="115"/>
      <c r="G28" s="115"/>
      <c r="H28" s="115"/>
    </row>
    <row r="29" ht="7.5" customHeight="1"/>
    <row r="30" ht="7.5" customHeight="1"/>
    <row r="31" ht="7.5" customHeight="1"/>
  </sheetData>
  <sheetProtection/>
  <mergeCells count="2">
    <mergeCell ref="A1:H1"/>
    <mergeCell ref="A2:H2"/>
  </mergeCells>
  <printOptions/>
  <pageMargins left="0.5905511811023623" right="0.5905511811023623" top="0.7874015748031497" bottom="0.7874015748031497" header="0.31496062992125984" footer="0.31496062992125984"/>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1:L20"/>
  <sheetViews>
    <sheetView zoomScale="140" zoomScaleNormal="140" zoomScalePageLayoutView="0" workbookViewId="0" topLeftCell="A1">
      <selection activeCell="A1" sqref="A1:H1"/>
    </sheetView>
  </sheetViews>
  <sheetFormatPr defaultColWidth="11.421875" defaultRowHeight="9.75" customHeight="1"/>
  <cols>
    <col min="1" max="1" width="26.28125" style="72" customWidth="1"/>
    <col min="2" max="2" width="6.7109375" style="72" customWidth="1"/>
    <col min="3" max="3" width="6.140625" style="72" bestFit="1" customWidth="1"/>
    <col min="4" max="4" width="6.421875" style="72" bestFit="1" customWidth="1"/>
    <col min="5" max="5" width="6.7109375" style="72" customWidth="1"/>
    <col min="6" max="6" width="6.140625" style="72" customWidth="1"/>
    <col min="7" max="7" width="6.8515625" style="72" customWidth="1"/>
    <col min="8" max="8" width="9.7109375" style="73" customWidth="1"/>
    <col min="9" max="10" width="7.28125" style="282" customWidth="1"/>
    <col min="11" max="11" width="23.57421875" style="282" customWidth="1"/>
    <col min="12" max="12" width="11.421875" style="282" customWidth="1"/>
    <col min="13" max="16384" width="11.421875" style="72" customWidth="1"/>
  </cols>
  <sheetData>
    <row r="1" spans="1:11" ht="15" customHeight="1">
      <c r="A1" s="1000" t="s">
        <v>63</v>
      </c>
      <c r="B1" s="1000"/>
      <c r="C1" s="1000"/>
      <c r="D1" s="1000"/>
      <c r="E1" s="1000"/>
      <c r="F1" s="1000"/>
      <c r="G1" s="1000"/>
      <c r="H1" s="1000"/>
      <c r="K1" s="206"/>
    </row>
    <row r="2" spans="1:8" ht="9.75" customHeight="1">
      <c r="A2" s="1010" t="s">
        <v>728</v>
      </c>
      <c r="B2" s="1010"/>
      <c r="C2" s="1010"/>
      <c r="D2" s="1010"/>
      <c r="E2" s="1010"/>
      <c r="F2" s="1010"/>
      <c r="G2" s="1010"/>
      <c r="H2" s="1010"/>
    </row>
    <row r="3" spans="1:2" ht="7.5" customHeight="1">
      <c r="A3" s="75"/>
      <c r="B3" s="76"/>
    </row>
    <row r="4" spans="1:8" ht="19.5" customHeight="1">
      <c r="A4" s="77"/>
      <c r="B4" s="26" t="s">
        <v>521</v>
      </c>
      <c r="C4" s="26" t="s">
        <v>522</v>
      </c>
      <c r="D4" s="26" t="s">
        <v>523</v>
      </c>
      <c r="E4" s="26" t="s">
        <v>524</v>
      </c>
      <c r="F4" s="26" t="s">
        <v>525</v>
      </c>
      <c r="G4" s="27" t="s">
        <v>526</v>
      </c>
      <c r="H4" s="107" t="s">
        <v>535</v>
      </c>
    </row>
    <row r="5" spans="1:8" ht="7.5" customHeight="1">
      <c r="A5" s="97"/>
      <c r="B5" s="148"/>
      <c r="C5" s="148"/>
      <c r="D5" s="148"/>
      <c r="E5" s="148"/>
      <c r="F5" s="148"/>
      <c r="G5" s="148"/>
      <c r="H5" s="148"/>
    </row>
    <row r="6" spans="1:8" ht="7.5" customHeight="1">
      <c r="A6" s="830" t="s">
        <v>542</v>
      </c>
      <c r="B6" s="864">
        <v>5367.148149135197</v>
      </c>
      <c r="C6" s="864">
        <v>4127.41252032087</v>
      </c>
      <c r="D6" s="864">
        <v>962.5589638355143</v>
      </c>
      <c r="E6" s="864">
        <v>3043.9037390400554</v>
      </c>
      <c r="F6" s="864">
        <v>3285.8033739306557</v>
      </c>
      <c r="G6" s="865">
        <f>SUM(B6:F6)</f>
        <v>16786.82674626229</v>
      </c>
      <c r="H6" s="866">
        <v>378200</v>
      </c>
    </row>
    <row r="7" spans="1:8" ht="7.5" customHeight="1">
      <c r="A7" s="105" t="s">
        <v>545</v>
      </c>
      <c r="B7" s="782">
        <f>(B6/(SUM('page 7 Démo'!B10:B13)))*1000</f>
        <v>7.072879017355811</v>
      </c>
      <c r="C7" s="782">
        <f>(C6/(SUM('page 7 Démo'!C10:C13)))*1000</f>
        <v>9.104773893111483</v>
      </c>
      <c r="D7" s="782">
        <f>(D6/(SUM('page 7 Démo'!D10:D13)))*1000</f>
        <v>5.595687450357023</v>
      </c>
      <c r="E7" s="782">
        <f>(E6/(SUM('page 7 Démo'!E10:E13)))*1000</f>
        <v>9.438227079762534</v>
      </c>
      <c r="F7" s="782">
        <f>(F6/(SUM('page 7 Démo'!F10:F13)))*1000</f>
        <v>9.110352136266018</v>
      </c>
      <c r="G7" s="783">
        <f>(G6/(SUM('page 7 Démo'!G10:G13)))*1000</f>
        <v>8.119965417723876</v>
      </c>
      <c r="H7" s="782">
        <f>(H6/(SUM('page 7 Démo'!H10:H13)))*1000</f>
        <v>10.243342213514751</v>
      </c>
    </row>
    <row r="8" spans="1:7" ht="7.5" customHeight="1">
      <c r="A8" s="105"/>
      <c r="G8" s="73"/>
    </row>
    <row r="9" spans="1:8" ht="7.5" customHeight="1">
      <c r="A9" s="830" t="s">
        <v>232</v>
      </c>
      <c r="B9" s="867"/>
      <c r="C9" s="867"/>
      <c r="D9" s="867"/>
      <c r="E9" s="867"/>
      <c r="F9" s="867"/>
      <c r="G9" s="822"/>
      <c r="H9" s="868"/>
    </row>
    <row r="10" spans="1:8" ht="7.5" customHeight="1">
      <c r="A10" s="830" t="s">
        <v>873</v>
      </c>
      <c r="B10" s="867">
        <v>6787</v>
      </c>
      <c r="C10" s="867">
        <v>4501</v>
      </c>
      <c r="D10" s="867">
        <v>1866</v>
      </c>
      <c r="E10" s="867">
        <v>3331</v>
      </c>
      <c r="F10" s="867">
        <v>3998</v>
      </c>
      <c r="G10" s="822">
        <f>SUM(B10:F10)</f>
        <v>20483</v>
      </c>
      <c r="H10" s="869">
        <v>484608</v>
      </c>
    </row>
    <row r="11" spans="1:8" ht="7.5" customHeight="1">
      <c r="A11" s="105" t="s">
        <v>546</v>
      </c>
      <c r="B11" s="782">
        <f>(B10/(SUM('page 7 Démo'!B13:B16)))*1000</f>
        <v>23.55256034757985</v>
      </c>
      <c r="C11" s="782">
        <f>(C10/(SUM('page 7 Démo'!C13:C16)))*1000</f>
        <v>24.568777292576417</v>
      </c>
      <c r="D11" s="782">
        <f>(D10/(SUM('page 7 Démo'!D13:D16)))*1000</f>
        <v>23.84634062184509</v>
      </c>
      <c r="E11" s="782">
        <f>(E10/(SUM('page 7 Démo'!E13:E16)))*1000</f>
        <v>23.136121799769402</v>
      </c>
      <c r="F11" s="782">
        <f>(F10/(SUM('page 7 Démo'!F13:F16)))*1000</f>
        <v>22.605067198905367</v>
      </c>
      <c r="G11" s="784">
        <f>(G10/(SUM('page 7 Démo'!G13:G16)))*1000</f>
        <v>23.53145262461342</v>
      </c>
      <c r="H11" s="782">
        <f>(H10/(SUM('page 7 Démo'!H13:H16)))*1000</f>
        <v>32.3085569593923</v>
      </c>
    </row>
    <row r="12" spans="1:7" ht="7.5" customHeight="1">
      <c r="A12" s="105"/>
      <c r="G12" s="31"/>
    </row>
    <row r="13" spans="1:12" s="84" customFormat="1" ht="7.5" customHeight="1">
      <c r="A13" s="870" t="s">
        <v>241</v>
      </c>
      <c r="B13" s="871"/>
      <c r="C13" s="871"/>
      <c r="D13" s="871"/>
      <c r="E13" s="871"/>
      <c r="F13" s="871"/>
      <c r="G13" s="871"/>
      <c r="H13" s="871"/>
      <c r="I13" s="206"/>
      <c r="J13" s="206"/>
      <c r="K13" s="206"/>
      <c r="L13" s="206"/>
    </row>
    <row r="14" spans="1:12" s="84" customFormat="1" ht="7.5" customHeight="1">
      <c r="A14" s="240" t="s">
        <v>74</v>
      </c>
      <c r="B14" s="703">
        <v>58889</v>
      </c>
      <c r="C14" s="703">
        <v>37842</v>
      </c>
      <c r="D14" s="703">
        <v>12265</v>
      </c>
      <c r="E14" s="703">
        <v>33888</v>
      </c>
      <c r="F14" s="703">
        <v>19812</v>
      </c>
      <c r="G14" s="495">
        <f>SUM(B14:F14)</f>
        <v>162696</v>
      </c>
      <c r="H14" s="454">
        <v>3908520</v>
      </c>
      <c r="I14" s="206"/>
      <c r="J14" s="206"/>
      <c r="K14" s="206"/>
      <c r="L14" s="206"/>
    </row>
    <row r="15" spans="1:12" s="84" customFormat="1" ht="7.5" customHeight="1">
      <c r="A15" s="239" t="s">
        <v>448</v>
      </c>
      <c r="B15" s="143">
        <f>(B14/('page 7 Démo'!B17))</f>
        <v>0.04519136246328955</v>
      </c>
      <c r="C15" s="143">
        <f>(C14/('page 7 Démo'!C17))</f>
        <v>0.04743906520897032</v>
      </c>
      <c r="D15" s="143">
        <f>(D14/('page 7 Démo'!D17))</f>
        <v>0.03939081534009706</v>
      </c>
      <c r="E15" s="143">
        <f>(E14/('page 7 Démo'!E17))</f>
        <v>0.05916500660822563</v>
      </c>
      <c r="F15" s="143">
        <f>(F14/('page 7 Démo'!F17))</f>
        <v>0.030706710001999378</v>
      </c>
      <c r="G15" s="785">
        <f>(G14/('page 7 Démo'!G17))</f>
        <v>0.044818118534855005</v>
      </c>
      <c r="H15" s="143">
        <f>(H14/('page 7 Démo'!H17))</f>
        <v>0.06163964463763621</v>
      </c>
      <c r="I15" s="206"/>
      <c r="J15" s="206"/>
      <c r="K15" s="206"/>
      <c r="L15" s="206"/>
    </row>
    <row r="16" spans="1:8" ht="7.5" customHeight="1" thickBot="1">
      <c r="A16" s="837"/>
      <c r="B16" s="837"/>
      <c r="C16" s="837"/>
      <c r="D16" s="837"/>
      <c r="E16" s="837"/>
      <c r="F16" s="837"/>
      <c r="G16" s="837"/>
      <c r="H16" s="844"/>
    </row>
    <row r="17" spans="1:8" ht="7.5" customHeight="1">
      <c r="A17" s="80" t="s">
        <v>18</v>
      </c>
      <c r="B17" s="25"/>
      <c r="C17" s="25"/>
      <c r="D17" s="25"/>
      <c r="E17" s="25"/>
      <c r="F17" s="25"/>
      <c r="G17" s="25"/>
      <c r="H17" s="31"/>
    </row>
    <row r="18" spans="1:8" ht="7.5" customHeight="1">
      <c r="A18" s="147" t="s">
        <v>233</v>
      </c>
      <c r="B18" s="84"/>
      <c r="C18" s="84"/>
      <c r="D18" s="84"/>
      <c r="E18" s="84"/>
      <c r="F18" s="84"/>
      <c r="G18" s="84"/>
      <c r="H18" s="85"/>
    </row>
    <row r="19" spans="1:8" ht="7.5" customHeight="1">
      <c r="A19" s="147" t="s">
        <v>584</v>
      </c>
      <c r="B19" s="84"/>
      <c r="C19" s="84"/>
      <c r="D19" s="84"/>
      <c r="E19" s="84"/>
      <c r="F19" s="84"/>
      <c r="G19" s="84"/>
      <c r="H19" s="85"/>
    </row>
    <row r="20" ht="7.5" customHeight="1">
      <c r="A20" s="428"/>
    </row>
    <row r="21" ht="7.5" customHeight="1"/>
    <row r="22" ht="7.5" customHeight="1"/>
    <row r="23" ht="7.5" customHeight="1"/>
  </sheetData>
  <sheetProtection/>
  <mergeCells count="2">
    <mergeCell ref="A1:H1"/>
    <mergeCell ref="A2:H2"/>
  </mergeCells>
  <printOptions/>
  <pageMargins left="0.5905511811023623" right="0.5905511811023623" top="0.7874015748031497" bottom="0.7874015748031497" header="0.31496062992125984" footer="0.31496062992125984"/>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A1:L37"/>
  <sheetViews>
    <sheetView zoomScale="140" zoomScaleNormal="140" zoomScalePageLayoutView="0" workbookViewId="0" topLeftCell="A1">
      <selection activeCell="A1" sqref="A1:G1"/>
    </sheetView>
  </sheetViews>
  <sheetFormatPr defaultColWidth="11.421875" defaultRowHeight="9.75" customHeight="1"/>
  <cols>
    <col min="1" max="1" width="26.28125" style="72" customWidth="1"/>
    <col min="2" max="6" width="6.7109375" style="72" customWidth="1"/>
    <col min="7" max="7" width="6.8515625" style="72" customWidth="1"/>
    <col min="8" max="8" width="8.7109375" style="73" customWidth="1"/>
    <col min="9" max="10" width="7.28125" style="282" customWidth="1"/>
    <col min="11" max="11" width="23.57421875" style="282" customWidth="1"/>
    <col min="12" max="12" width="11.421875" style="282" customWidth="1"/>
    <col min="13" max="16384" width="11.421875" style="72" customWidth="1"/>
  </cols>
  <sheetData>
    <row r="1" spans="1:8" ht="15" customHeight="1">
      <c r="A1" s="1000" t="s">
        <v>773</v>
      </c>
      <c r="B1" s="1000"/>
      <c r="C1" s="1000"/>
      <c r="D1" s="1000"/>
      <c r="E1" s="1000"/>
      <c r="F1" s="1000"/>
      <c r="G1" s="1000"/>
      <c r="H1" s="195"/>
    </row>
    <row r="2" spans="1:12" s="65" customFormat="1" ht="9.75" customHeight="1">
      <c r="A2" s="1002" t="s">
        <v>212</v>
      </c>
      <c r="B2" s="1002"/>
      <c r="C2" s="1002"/>
      <c r="D2" s="1002"/>
      <c r="E2" s="1002"/>
      <c r="F2" s="1002"/>
      <c r="G2" s="1002"/>
      <c r="H2" s="196"/>
      <c r="J2" s="299"/>
      <c r="K2" s="299"/>
      <c r="L2" s="299"/>
    </row>
    <row r="3" spans="1:8" ht="7.5" customHeight="1">
      <c r="A3" s="75"/>
      <c r="B3" s="76"/>
      <c r="H3" s="106"/>
    </row>
    <row r="4" spans="1:12" s="76" customFormat="1" ht="19.5" customHeight="1">
      <c r="A4" s="77"/>
      <c r="B4" s="26" t="s">
        <v>521</v>
      </c>
      <c r="C4" s="26" t="s">
        <v>522</v>
      </c>
      <c r="D4" s="26" t="s">
        <v>523</v>
      </c>
      <c r="E4" s="26" t="s">
        <v>524</v>
      </c>
      <c r="F4" s="26" t="s">
        <v>525</v>
      </c>
      <c r="G4" s="27" t="s">
        <v>526</v>
      </c>
      <c r="H4" s="388"/>
      <c r="I4" s="284"/>
      <c r="J4" s="284"/>
      <c r="K4" s="284"/>
      <c r="L4" s="284"/>
    </row>
    <row r="5" spans="1:8" ht="7.5" customHeight="1">
      <c r="A5" s="79"/>
      <c r="B5" s="26"/>
      <c r="C5" s="26"/>
      <c r="D5" s="26"/>
      <c r="E5" s="26"/>
      <c r="F5" s="26"/>
      <c r="G5" s="27"/>
      <c r="H5" s="27"/>
    </row>
    <row r="6" spans="7:11" ht="7.5" customHeight="1">
      <c r="G6" s="193" t="s">
        <v>596</v>
      </c>
      <c r="H6" s="106"/>
      <c r="I6" s="206"/>
      <c r="J6" s="206"/>
      <c r="K6" s="206"/>
    </row>
    <row r="7" spans="1:11" ht="7.5" customHeight="1">
      <c r="A7" s="803" t="s">
        <v>404</v>
      </c>
      <c r="B7" s="872">
        <v>104767.089</v>
      </c>
      <c r="C7" s="872">
        <v>79096.213</v>
      </c>
      <c r="D7" s="872">
        <v>47038.792</v>
      </c>
      <c r="E7" s="872">
        <v>92774.49094000002</v>
      </c>
      <c r="F7" s="872">
        <v>70412.97377999999</v>
      </c>
      <c r="G7" s="872">
        <v>394089.5587200001</v>
      </c>
      <c r="H7" s="374"/>
      <c r="I7" s="206"/>
      <c r="J7" s="206"/>
      <c r="K7" s="206"/>
    </row>
    <row r="8" spans="1:8" ht="7.5" customHeight="1">
      <c r="A8" s="84" t="s">
        <v>464</v>
      </c>
      <c r="B8" s="123">
        <v>767.296</v>
      </c>
      <c r="C8" s="123">
        <v>514.751</v>
      </c>
      <c r="D8" s="123">
        <v>251.474</v>
      </c>
      <c r="E8" s="123">
        <v>304.43412</v>
      </c>
      <c r="F8" s="123">
        <v>710.1335600000001</v>
      </c>
      <c r="G8" s="189">
        <v>2548.0886800000003</v>
      </c>
      <c r="H8" s="374"/>
    </row>
    <row r="9" spans="1:8" ht="7.5" customHeight="1">
      <c r="A9" s="84" t="s">
        <v>475</v>
      </c>
      <c r="B9" s="123">
        <v>36506.812</v>
      </c>
      <c r="C9" s="123">
        <v>21534.231</v>
      </c>
      <c r="D9" s="123">
        <v>10679.239</v>
      </c>
      <c r="E9" s="123">
        <v>23504.455810000003</v>
      </c>
      <c r="F9" s="123">
        <v>18203.96831</v>
      </c>
      <c r="G9" s="189">
        <v>110428.70611999999</v>
      </c>
      <c r="H9" s="374"/>
    </row>
    <row r="10" spans="1:8" ht="7.5" customHeight="1">
      <c r="A10" s="84" t="s">
        <v>476</v>
      </c>
      <c r="B10" s="123">
        <v>47301.241</v>
      </c>
      <c r="C10" s="123">
        <v>33413.099</v>
      </c>
      <c r="D10" s="123">
        <v>16128.378</v>
      </c>
      <c r="E10" s="123">
        <v>23356.178099999997</v>
      </c>
      <c r="F10" s="123">
        <v>29593.386730000002</v>
      </c>
      <c r="G10" s="189">
        <v>149792.28282999998</v>
      </c>
      <c r="H10" s="374"/>
    </row>
    <row r="11" spans="1:8" ht="7.5" customHeight="1">
      <c r="A11" s="22" t="s">
        <v>477</v>
      </c>
      <c r="B11" s="123">
        <v>19257.901</v>
      </c>
      <c r="C11" s="123">
        <v>20896.922</v>
      </c>
      <c r="D11" s="123">
        <v>19686.058</v>
      </c>
      <c r="E11" s="123">
        <v>23431.98797</v>
      </c>
      <c r="F11" s="123">
        <v>23431.98797</v>
      </c>
      <c r="G11" s="189">
        <v>106704.85694000001</v>
      </c>
      <c r="H11" s="374"/>
    </row>
    <row r="12" spans="1:8" ht="7.5" customHeight="1">
      <c r="A12" s="118" t="s">
        <v>403</v>
      </c>
      <c r="B12" s="190">
        <v>32627.667</v>
      </c>
      <c r="C12" s="190">
        <v>28272.541</v>
      </c>
      <c r="D12" s="190">
        <v>21291.359</v>
      </c>
      <c r="E12" s="190">
        <v>50578.036770000006</v>
      </c>
      <c r="F12" s="190">
        <v>28002.735969999998</v>
      </c>
      <c r="G12" s="224">
        <v>160772.33974</v>
      </c>
      <c r="H12" s="374"/>
    </row>
    <row r="13" spans="1:8" ht="7.5" customHeight="1">
      <c r="A13" s="803" t="s">
        <v>405</v>
      </c>
      <c r="B13" s="872">
        <v>122098.509</v>
      </c>
      <c r="C13" s="872">
        <v>74409.72</v>
      </c>
      <c r="D13" s="872">
        <v>31412.694</v>
      </c>
      <c r="E13" s="872">
        <v>71912.23793</v>
      </c>
      <c r="F13" s="872">
        <v>74034.48451000001</v>
      </c>
      <c r="G13" s="872">
        <v>373867.64544</v>
      </c>
      <c r="H13" s="374"/>
    </row>
    <row r="14" spans="1:8" ht="7.5" customHeight="1">
      <c r="A14" s="84" t="s">
        <v>478</v>
      </c>
      <c r="B14" s="123">
        <v>5858.91</v>
      </c>
      <c r="C14" s="123">
        <v>4280.756</v>
      </c>
      <c r="D14" s="123">
        <v>2119.673</v>
      </c>
      <c r="E14" s="123">
        <v>3998.87681</v>
      </c>
      <c r="F14" s="123">
        <v>3266.415</v>
      </c>
      <c r="G14" s="189">
        <v>19524.63081</v>
      </c>
      <c r="H14" s="374"/>
    </row>
    <row r="15" spans="1:8" ht="7.5" customHeight="1">
      <c r="A15" s="84" t="s">
        <v>479</v>
      </c>
      <c r="B15" s="191">
        <v>82741.241</v>
      </c>
      <c r="C15" s="191">
        <v>45074.765</v>
      </c>
      <c r="D15" s="191">
        <v>21748.481</v>
      </c>
      <c r="E15" s="191">
        <v>43979.63824</v>
      </c>
      <c r="F15" s="191">
        <v>52702.65616</v>
      </c>
      <c r="G15" s="189">
        <v>246246.78139999998</v>
      </c>
      <c r="H15" s="374"/>
    </row>
    <row r="16" spans="1:8" ht="7.5" customHeight="1">
      <c r="A16" s="84" t="s">
        <v>480</v>
      </c>
      <c r="B16" s="194">
        <v>6623.956</v>
      </c>
      <c r="C16" s="194">
        <v>2646.21</v>
      </c>
      <c r="D16" s="108">
        <v>2462.674</v>
      </c>
      <c r="E16" s="108">
        <v>5864.820789999999</v>
      </c>
      <c r="F16" s="108">
        <v>5645.663</v>
      </c>
      <c r="G16" s="189">
        <v>23243.32379</v>
      </c>
      <c r="H16" s="374"/>
    </row>
    <row r="17" spans="1:8" ht="7.5" customHeight="1">
      <c r="A17" s="118" t="s">
        <v>409</v>
      </c>
      <c r="B17" s="190">
        <v>15823.888</v>
      </c>
      <c r="C17" s="190">
        <v>8114.835</v>
      </c>
      <c r="D17" s="190">
        <v>8119.609</v>
      </c>
      <c r="E17" s="190">
        <v>19560.30453</v>
      </c>
      <c r="F17" s="190">
        <v>13215.01164</v>
      </c>
      <c r="G17" s="224">
        <v>64833.64817</v>
      </c>
      <c r="H17" s="374"/>
    </row>
    <row r="18" spans="1:8" ht="7.5" customHeight="1">
      <c r="A18" s="803" t="s">
        <v>406</v>
      </c>
      <c r="B18" s="872">
        <v>127685.011</v>
      </c>
      <c r="C18" s="872">
        <v>93329.429</v>
      </c>
      <c r="D18" s="872">
        <v>26470.836</v>
      </c>
      <c r="E18" s="872">
        <v>52183.22129</v>
      </c>
      <c r="F18" s="872">
        <v>41401.384159999994</v>
      </c>
      <c r="G18" s="872">
        <v>341069.88145000004</v>
      </c>
      <c r="H18" s="374"/>
    </row>
    <row r="19" spans="1:12" s="105" customFormat="1" ht="7.5" customHeight="1">
      <c r="A19" s="118" t="s">
        <v>409</v>
      </c>
      <c r="B19" s="199">
        <v>2181.271</v>
      </c>
      <c r="C19" s="199">
        <v>1444.134</v>
      </c>
      <c r="D19" s="113">
        <v>604.532</v>
      </c>
      <c r="E19" s="201">
        <v>1125.42212</v>
      </c>
      <c r="F19" s="113">
        <v>849.69868</v>
      </c>
      <c r="G19" s="224">
        <v>6205.0578000000005</v>
      </c>
      <c r="H19" s="374"/>
      <c r="I19" s="283"/>
      <c r="J19" s="283"/>
      <c r="K19" s="283"/>
      <c r="L19" s="283"/>
    </row>
    <row r="20" spans="1:8" ht="7.5" customHeight="1">
      <c r="A20" s="803" t="s">
        <v>902</v>
      </c>
      <c r="B20" s="872">
        <v>108000.78515000001</v>
      </c>
      <c r="C20" s="872">
        <v>65459.393149999996</v>
      </c>
      <c r="D20" s="872">
        <v>15735.32424</v>
      </c>
      <c r="E20" s="872">
        <v>49832.3202</v>
      </c>
      <c r="F20" s="872">
        <v>32022.799370000004</v>
      </c>
      <c r="G20" s="872">
        <v>271050.62211</v>
      </c>
      <c r="H20" s="374"/>
    </row>
    <row r="21" spans="1:8" ht="7.5" customHeight="1">
      <c r="A21" s="118" t="s">
        <v>410</v>
      </c>
      <c r="B21" s="190">
        <v>8044.2458</v>
      </c>
      <c r="C21" s="190">
        <v>5280.774</v>
      </c>
      <c r="D21" s="190">
        <v>2981.068127323462</v>
      </c>
      <c r="E21" s="190">
        <v>4249.0096100320925</v>
      </c>
      <c r="F21" s="190">
        <v>3313.53104</v>
      </c>
      <c r="G21" s="224">
        <v>23868.628577355557</v>
      </c>
      <c r="H21" s="374"/>
    </row>
    <row r="22" spans="1:8" ht="7.5" customHeight="1">
      <c r="A22" s="135" t="s">
        <v>676</v>
      </c>
      <c r="B22" s="173">
        <v>80951.609</v>
      </c>
      <c r="C22" s="173">
        <v>45687.84</v>
      </c>
      <c r="D22" s="173">
        <v>8103.935</v>
      </c>
      <c r="E22" s="173">
        <v>36653.649</v>
      </c>
      <c r="F22" s="173">
        <v>19881.558</v>
      </c>
      <c r="G22" s="224">
        <v>191278.591</v>
      </c>
      <c r="H22" s="374"/>
    </row>
    <row r="23" spans="1:8" ht="7.5" customHeight="1">
      <c r="A23" s="803" t="s">
        <v>407</v>
      </c>
      <c r="B23" s="872">
        <v>55648.897</v>
      </c>
      <c r="C23" s="872">
        <v>33227.394</v>
      </c>
      <c r="D23" s="872">
        <v>262.12</v>
      </c>
      <c r="E23" s="872">
        <v>19499.35341</v>
      </c>
      <c r="F23" s="872">
        <v>17310.67298</v>
      </c>
      <c r="G23" s="872">
        <v>125948.43738999999</v>
      </c>
      <c r="H23" s="374"/>
    </row>
    <row r="24" spans="1:8" ht="7.5" customHeight="1">
      <c r="A24" s="803" t="s">
        <v>408</v>
      </c>
      <c r="B24" s="872">
        <v>15436.874</v>
      </c>
      <c r="C24" s="872">
        <v>5614.385</v>
      </c>
      <c r="D24" s="872">
        <v>1879.59</v>
      </c>
      <c r="E24" s="872">
        <v>1225.8802</v>
      </c>
      <c r="F24" s="872">
        <v>948.82251</v>
      </c>
      <c r="G24" s="872">
        <v>25105.55171</v>
      </c>
      <c r="H24" s="374"/>
    </row>
    <row r="25" spans="1:12" s="105" customFormat="1" ht="7.5" customHeight="1">
      <c r="A25" s="118" t="s">
        <v>677</v>
      </c>
      <c r="B25" s="173">
        <v>4220.727</v>
      </c>
      <c r="C25" s="173">
        <v>2050.457</v>
      </c>
      <c r="D25" s="173">
        <v>424.146</v>
      </c>
      <c r="E25" s="173">
        <v>264.48553000000004</v>
      </c>
      <c r="F25" s="173">
        <v>1613.09996</v>
      </c>
      <c r="G25" s="224">
        <v>8572.91549</v>
      </c>
      <c r="H25" s="374"/>
      <c r="I25" s="283"/>
      <c r="J25" s="283"/>
      <c r="K25" s="283"/>
      <c r="L25" s="283"/>
    </row>
    <row r="26" spans="1:8" ht="7.5" customHeight="1">
      <c r="A26" s="803" t="s">
        <v>412</v>
      </c>
      <c r="B26" s="872">
        <v>533637.16515</v>
      </c>
      <c r="C26" s="872">
        <v>351136.5341500001</v>
      </c>
      <c r="D26" s="872">
        <v>122799.35624</v>
      </c>
      <c r="E26" s="872">
        <v>287427.50397</v>
      </c>
      <c r="F26" s="872">
        <v>236131.13730999996</v>
      </c>
      <c r="G26" s="872">
        <v>1531131.6968200004</v>
      </c>
      <c r="H26" s="374"/>
    </row>
    <row r="27" spans="1:12" s="105" customFormat="1" ht="7.5" customHeight="1">
      <c r="A27" s="145" t="s">
        <v>413</v>
      </c>
      <c r="B27" s="173">
        <v>143849.40780000002</v>
      </c>
      <c r="C27" s="173">
        <v>90850.58099999999</v>
      </c>
      <c r="D27" s="201">
        <v>41524.64912732346</v>
      </c>
      <c r="E27" s="201">
        <v>112430.9075600321</v>
      </c>
      <c r="F27" s="201">
        <v>66875.63529</v>
      </c>
      <c r="G27" s="201">
        <v>455531.1807773555</v>
      </c>
      <c r="H27" s="374"/>
      <c r="I27" s="283"/>
      <c r="J27" s="396"/>
      <c r="K27" s="396"/>
      <c r="L27" s="283"/>
    </row>
    <row r="28" spans="1:8" ht="7.5" customHeight="1">
      <c r="A28" s="803" t="s">
        <v>180</v>
      </c>
      <c r="B28" s="873">
        <v>389787.75734999997</v>
      </c>
      <c r="C28" s="873">
        <v>260285.95315000007</v>
      </c>
      <c r="D28" s="873">
        <v>81274.70711267654</v>
      </c>
      <c r="E28" s="873">
        <v>174996.59640996793</v>
      </c>
      <c r="F28" s="873">
        <v>169255.50201999996</v>
      </c>
      <c r="G28" s="873">
        <v>1075600.5160426449</v>
      </c>
      <c r="H28" s="374"/>
    </row>
    <row r="29" spans="1:8" ht="7.5" customHeight="1" thickBot="1">
      <c r="A29" s="874"/>
      <c r="B29" s="837"/>
      <c r="C29" s="837"/>
      <c r="D29" s="837"/>
      <c r="E29" s="837"/>
      <c r="F29" s="837"/>
      <c r="G29" s="837"/>
      <c r="H29" s="106"/>
    </row>
    <row r="30" spans="1:8" ht="7.5" customHeight="1">
      <c r="A30" s="53" t="s">
        <v>182</v>
      </c>
      <c r="B30" s="25"/>
      <c r="C30" s="25"/>
      <c r="D30" s="25"/>
      <c r="E30" s="25"/>
      <c r="F30" s="25"/>
      <c r="G30" s="25"/>
      <c r="H30" s="147"/>
    </row>
    <row r="31" spans="1:8" ht="7.5" customHeight="1">
      <c r="A31" s="146" t="s">
        <v>411</v>
      </c>
      <c r="B31" s="146" t="s">
        <v>903</v>
      </c>
      <c r="C31" s="25"/>
      <c r="D31" s="25"/>
      <c r="E31" s="25"/>
      <c r="F31" s="25"/>
      <c r="G31" s="25"/>
      <c r="H31" s="106"/>
    </row>
    <row r="32" spans="1:8" ht="7.5" customHeight="1">
      <c r="A32" s="72" t="s">
        <v>671</v>
      </c>
      <c r="B32" s="96" t="s">
        <v>672</v>
      </c>
      <c r="C32" s="25"/>
      <c r="D32" s="25"/>
      <c r="E32" s="25"/>
      <c r="F32" s="25"/>
      <c r="G32" s="25"/>
      <c r="H32" s="31"/>
    </row>
    <row r="33" ht="7.5" customHeight="1"/>
    <row r="34" ht="9.75" customHeight="1">
      <c r="D34" s="76"/>
    </row>
    <row r="37" ht="9.75" customHeight="1">
      <c r="C37" s="70"/>
    </row>
  </sheetData>
  <sheetProtection/>
  <mergeCells count="2">
    <mergeCell ref="A1:G1"/>
    <mergeCell ref="A2:G2"/>
  </mergeCells>
  <printOptions/>
  <pageMargins left="0.5905511811023623" right="0.5905511811023623" top="0.7874015748031497" bottom="0.7874015748031497"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29"/>
  <sheetViews>
    <sheetView zoomScalePageLayoutView="0" workbookViewId="0" topLeftCell="A1">
      <selection activeCell="A5" sqref="A5"/>
    </sheetView>
  </sheetViews>
  <sheetFormatPr defaultColWidth="11.421875" defaultRowHeight="15"/>
  <cols>
    <col min="1" max="1" width="121.7109375" style="235" customWidth="1"/>
    <col min="2" max="16384" width="11.421875" style="235" customWidth="1"/>
  </cols>
  <sheetData>
    <row r="1" ht="12.75">
      <c r="A1" s="788" t="s">
        <v>104</v>
      </c>
    </row>
    <row r="4" ht="12.75">
      <c r="A4" s="234" t="s">
        <v>49</v>
      </c>
    </row>
    <row r="5" ht="12.75">
      <c r="A5" s="234" t="s">
        <v>50</v>
      </c>
    </row>
    <row r="6" ht="12.75">
      <c r="A6" s="234"/>
    </row>
    <row r="7" ht="12.75">
      <c r="A7" s="793" t="s">
        <v>940</v>
      </c>
    </row>
    <row r="8" ht="12.75">
      <c r="A8" s="236"/>
    </row>
    <row r="9" ht="12.75">
      <c r="A9" s="236" t="s">
        <v>51</v>
      </c>
    </row>
    <row r="10" ht="12.75">
      <c r="A10" s="234" t="s">
        <v>52</v>
      </c>
    </row>
    <row r="11" ht="12.75">
      <c r="A11" s="234" t="s">
        <v>54</v>
      </c>
    </row>
    <row r="12" ht="12.75">
      <c r="A12" s="234"/>
    </row>
    <row r="13" ht="12.75">
      <c r="A13" s="234"/>
    </row>
    <row r="14" ht="12.75">
      <c r="A14" s="234" t="s">
        <v>55</v>
      </c>
    </row>
    <row r="15" ht="12.75">
      <c r="A15" s="237" t="s">
        <v>56</v>
      </c>
    </row>
    <row r="17" ht="12.75">
      <c r="A17" s="234"/>
    </row>
    <row r="18" ht="12.75">
      <c r="A18" s="238"/>
    </row>
    <row r="19" ht="12.75">
      <c r="A19" s="238"/>
    </row>
    <row r="20" ht="12.75">
      <c r="A20" s="238"/>
    </row>
    <row r="21" ht="12.75">
      <c r="A21" s="238"/>
    </row>
    <row r="22" ht="12.75">
      <c r="A22" s="238"/>
    </row>
    <row r="23" ht="12.75">
      <c r="A23" s="238"/>
    </row>
    <row r="24" ht="13.5" thickBot="1">
      <c r="A24" s="234"/>
    </row>
    <row r="25" ht="12.75">
      <c r="A25" s="789" t="s">
        <v>394</v>
      </c>
    </row>
    <row r="26" ht="12.75">
      <c r="A26" s="790" t="s">
        <v>673</v>
      </c>
    </row>
    <row r="27" ht="12.75">
      <c r="A27" s="791" t="s">
        <v>165</v>
      </c>
    </row>
    <row r="28" ht="12.75">
      <c r="A28" s="791"/>
    </row>
    <row r="29" ht="13.5" thickBot="1">
      <c r="A29" s="792" t="s">
        <v>57</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L32"/>
  <sheetViews>
    <sheetView zoomScale="139" zoomScaleNormal="139" zoomScalePageLayoutView="0" workbookViewId="0" topLeftCell="A1">
      <selection activeCell="A1" sqref="A1:G1"/>
    </sheetView>
  </sheetViews>
  <sheetFormatPr defaultColWidth="11.421875" defaultRowHeight="9.75" customHeight="1"/>
  <cols>
    <col min="1" max="1" width="24.140625" style="72" customWidth="1"/>
    <col min="2" max="6" width="6.7109375" style="72" customWidth="1"/>
    <col min="7" max="7" width="6.8515625" style="72" customWidth="1"/>
    <col min="8" max="8" width="5.00390625" style="73" customWidth="1"/>
    <col min="9" max="10" width="7.28125" style="282" customWidth="1"/>
    <col min="11" max="11" width="23.57421875" style="282" customWidth="1"/>
    <col min="12" max="12" width="11.421875" style="282" customWidth="1"/>
    <col min="13" max="16384" width="11.421875" style="72" customWidth="1"/>
  </cols>
  <sheetData>
    <row r="1" spans="1:8" ht="15" customHeight="1">
      <c r="A1" s="1000" t="s">
        <v>597</v>
      </c>
      <c r="B1" s="1000"/>
      <c r="C1" s="1000"/>
      <c r="D1" s="1000"/>
      <c r="E1" s="1000"/>
      <c r="F1" s="1000"/>
      <c r="G1" s="1000"/>
      <c r="H1" s="195"/>
    </row>
    <row r="2" spans="1:11" ht="9.75" customHeight="1">
      <c r="A2" s="1002" t="s">
        <v>633</v>
      </c>
      <c r="B2" s="1002"/>
      <c r="C2" s="1002"/>
      <c r="D2" s="1002"/>
      <c r="E2" s="1002"/>
      <c r="F2" s="1002"/>
      <c r="G2" s="1002"/>
      <c r="H2" s="196"/>
      <c r="I2" s="206"/>
      <c r="J2" s="206"/>
      <c r="K2" s="206"/>
    </row>
    <row r="3" spans="1:8" ht="7.5" customHeight="1">
      <c r="A3" s="75"/>
      <c r="B3" s="76"/>
      <c r="H3" s="106"/>
    </row>
    <row r="4" spans="1:8" ht="19.5" customHeight="1">
      <c r="A4" s="77"/>
      <c r="B4" s="26" t="s">
        <v>521</v>
      </c>
      <c r="C4" s="26" t="s">
        <v>522</v>
      </c>
      <c r="D4" s="26" t="s">
        <v>523</v>
      </c>
      <c r="E4" s="26" t="s">
        <v>524</v>
      </c>
      <c r="F4" s="26" t="s">
        <v>525</v>
      </c>
      <c r="G4" s="27" t="s">
        <v>526</v>
      </c>
      <c r="H4" s="382"/>
    </row>
    <row r="5" spans="1:8" ht="7.5" customHeight="1">
      <c r="A5" s="79"/>
      <c r="B5" s="26"/>
      <c r="C5" s="26"/>
      <c r="D5" s="26"/>
      <c r="E5" s="26"/>
      <c r="F5" s="26"/>
      <c r="G5" s="27"/>
      <c r="H5" s="27"/>
    </row>
    <row r="6" spans="7:8" ht="7.5" customHeight="1">
      <c r="G6" s="193" t="s">
        <v>596</v>
      </c>
      <c r="H6" s="15"/>
    </row>
    <row r="7" spans="1:8" ht="7.5" customHeight="1">
      <c r="A7" s="826" t="s">
        <v>598</v>
      </c>
      <c r="B7" s="831"/>
      <c r="C7" s="831"/>
      <c r="D7" s="831"/>
      <c r="E7" s="831"/>
      <c r="F7" s="831"/>
      <c r="G7" s="831"/>
      <c r="H7" s="217"/>
    </row>
    <row r="8" spans="1:8" ht="7.5" customHeight="1">
      <c r="A8" s="22" t="s">
        <v>458</v>
      </c>
      <c r="B8" s="70">
        <v>11264</v>
      </c>
      <c r="C8" s="70">
        <v>4773</v>
      </c>
      <c r="D8" s="70">
        <v>1854</v>
      </c>
      <c r="E8" s="70">
        <v>4363</v>
      </c>
      <c r="F8" s="70">
        <v>2960</v>
      </c>
      <c r="G8" s="197">
        <v>25214</v>
      </c>
      <c r="H8" s="367"/>
    </row>
    <row r="9" spans="1:12" s="105" customFormat="1" ht="7.5" customHeight="1">
      <c r="A9" s="80" t="s">
        <v>459</v>
      </c>
      <c r="B9" s="1012">
        <v>373</v>
      </c>
      <c r="C9" s="1012">
        <v>168</v>
      </c>
      <c r="D9" s="1012">
        <v>122</v>
      </c>
      <c r="E9" s="1012">
        <v>344</v>
      </c>
      <c r="F9" s="1012">
        <v>299</v>
      </c>
      <c r="G9" s="1013">
        <v>1306</v>
      </c>
      <c r="H9" s="1011"/>
      <c r="I9" s="282"/>
      <c r="J9" s="283"/>
      <c r="K9" s="283"/>
      <c r="L9" s="283"/>
    </row>
    <row r="10" spans="1:12" s="105" customFormat="1" ht="7.5" customHeight="1">
      <c r="A10" s="80" t="s">
        <v>457</v>
      </c>
      <c r="B10" s="1012"/>
      <c r="C10" s="1012"/>
      <c r="D10" s="1012"/>
      <c r="E10" s="1012"/>
      <c r="F10" s="1012"/>
      <c r="G10" s="1013"/>
      <c r="H10" s="1011"/>
      <c r="I10" s="282"/>
      <c r="J10" s="283"/>
      <c r="K10" s="283"/>
      <c r="L10" s="283"/>
    </row>
    <row r="11" spans="1:8" ht="7.5" customHeight="1">
      <c r="A11" s="80"/>
      <c r="B11" s="162"/>
      <c r="C11" s="162"/>
      <c r="D11" s="162"/>
      <c r="E11" s="162"/>
      <c r="F11" s="162"/>
      <c r="G11" s="197"/>
      <c r="H11" s="368"/>
    </row>
    <row r="12" spans="1:8" ht="7.5" customHeight="1">
      <c r="A12" s="826" t="s">
        <v>599</v>
      </c>
      <c r="B12" s="875"/>
      <c r="C12" s="875"/>
      <c r="D12" s="875"/>
      <c r="E12" s="875"/>
      <c r="F12" s="875"/>
      <c r="G12" s="875"/>
      <c r="H12" s="360"/>
    </row>
    <row r="13" spans="1:8" ht="7.5" customHeight="1">
      <c r="A13" s="272" t="s">
        <v>463</v>
      </c>
      <c r="B13" s="154">
        <v>3323</v>
      </c>
      <c r="C13" s="154">
        <v>2296</v>
      </c>
      <c r="D13" s="154">
        <v>883</v>
      </c>
      <c r="E13" s="154">
        <v>2771</v>
      </c>
      <c r="F13" s="154">
        <v>1171</v>
      </c>
      <c r="G13" s="197">
        <f>SUM(B13:F13)</f>
        <v>10444</v>
      </c>
      <c r="H13" s="367"/>
    </row>
    <row r="14" spans="1:8" ht="7.5" customHeight="1">
      <c r="A14" s="272" t="s">
        <v>460</v>
      </c>
      <c r="B14" s="154">
        <v>5547</v>
      </c>
      <c r="C14" s="154">
        <v>1726</v>
      </c>
      <c r="D14" s="154">
        <v>395</v>
      </c>
      <c r="E14" s="154">
        <v>1143</v>
      </c>
      <c r="F14" s="154">
        <v>1289</v>
      </c>
      <c r="G14" s="197">
        <f>SUM(B14:F14)</f>
        <v>10100</v>
      </c>
      <c r="H14" s="367"/>
    </row>
    <row r="15" spans="1:8" ht="7.5" customHeight="1">
      <c r="A15" s="272" t="s">
        <v>461</v>
      </c>
      <c r="B15" s="154">
        <v>545</v>
      </c>
      <c r="C15" s="154"/>
      <c r="D15" s="154"/>
      <c r="E15" s="154"/>
      <c r="F15" s="154"/>
      <c r="G15" s="197">
        <f>SUM(B15:F15)</f>
        <v>545</v>
      </c>
      <c r="H15" s="367"/>
    </row>
    <row r="16" spans="1:8" ht="7.5" customHeight="1">
      <c r="A16" s="80"/>
      <c r="B16" s="148"/>
      <c r="C16" s="148"/>
      <c r="D16" s="148"/>
      <c r="E16" s="148"/>
      <c r="F16" s="148"/>
      <c r="G16" s="148"/>
      <c r="H16" s="360"/>
    </row>
    <row r="17" spans="1:8" ht="7.5" customHeight="1">
      <c r="A17" s="826" t="s">
        <v>600</v>
      </c>
      <c r="B17" s="842"/>
      <c r="C17" s="842"/>
      <c r="D17" s="842"/>
      <c r="E17" s="842"/>
      <c r="F17" s="842"/>
      <c r="G17" s="805"/>
      <c r="H17" s="360"/>
    </row>
    <row r="18" spans="1:8" ht="7.5" customHeight="1">
      <c r="A18" s="22" t="s">
        <v>462</v>
      </c>
      <c r="B18" s="154">
        <v>4298</v>
      </c>
      <c r="C18" s="154">
        <v>3334</v>
      </c>
      <c r="D18" s="154">
        <v>1436</v>
      </c>
      <c r="E18" s="154">
        <v>2602</v>
      </c>
      <c r="F18" s="154">
        <v>2750</v>
      </c>
      <c r="G18" s="197">
        <f>SUM(B18:F18)</f>
        <v>14420</v>
      </c>
      <c r="H18" s="367"/>
    </row>
    <row r="19" spans="1:8" ht="7.5" customHeight="1">
      <c r="A19" s="160"/>
      <c r="B19" s="154"/>
      <c r="C19" s="154"/>
      <c r="D19" s="154"/>
      <c r="E19" s="154"/>
      <c r="F19" s="154"/>
      <c r="G19" s="30"/>
      <c r="H19" s="367"/>
    </row>
    <row r="20" spans="1:8" ht="7.5" customHeight="1">
      <c r="A20" s="876" t="s">
        <v>412</v>
      </c>
      <c r="B20" s="842">
        <f>B8+B9+SUM(B13:B15)+B18</f>
        <v>25350</v>
      </c>
      <c r="C20" s="842">
        <f>C8+C9+SUM(C13:C15)+C18</f>
        <v>12297</v>
      </c>
      <c r="D20" s="842">
        <f>D8+D9+SUM(D13:D15)+D18</f>
        <v>4690</v>
      </c>
      <c r="E20" s="842">
        <f>E8+E9+SUM(E13:E15)+E18</f>
        <v>11223</v>
      </c>
      <c r="F20" s="842">
        <f>F8+F9+SUM(F13:F15)+F18</f>
        <v>8469</v>
      </c>
      <c r="G20" s="842">
        <f>G8+G9+G10+G13+G14+G15+G18</f>
        <v>62029</v>
      </c>
      <c r="H20" s="367"/>
    </row>
    <row r="21" spans="1:8" ht="7.5" customHeight="1" thickBot="1">
      <c r="A21" s="877"/>
      <c r="B21" s="837"/>
      <c r="C21" s="837"/>
      <c r="D21" s="837"/>
      <c r="E21" s="837"/>
      <c r="F21" s="837"/>
      <c r="G21" s="837"/>
      <c r="H21" s="361"/>
    </row>
    <row r="22" spans="1:8" ht="7.5" customHeight="1">
      <c r="A22" s="22" t="s">
        <v>183</v>
      </c>
      <c r="B22" s="25"/>
      <c r="C22" s="25"/>
      <c r="D22" s="25"/>
      <c r="E22" s="25"/>
      <c r="F22" s="25"/>
      <c r="G22" s="25"/>
      <c r="H22" s="147"/>
    </row>
    <row r="23" ht="7.5" customHeight="1">
      <c r="G23" s="70"/>
    </row>
    <row r="24" ht="7.5" customHeight="1"/>
    <row r="25" ht="7.5" customHeight="1">
      <c r="A25" s="84"/>
    </row>
    <row r="26" ht="7.5" customHeight="1"/>
    <row r="27" spans="2:7" ht="7.5" customHeight="1">
      <c r="B27" s="726"/>
      <c r="C27" s="726"/>
      <c r="D27" s="726"/>
      <c r="E27" s="726"/>
      <c r="F27" s="726"/>
      <c r="G27" s="727"/>
    </row>
    <row r="28" spans="2:7" ht="7.5" customHeight="1">
      <c r="B28" s="726"/>
      <c r="C28" s="726"/>
      <c r="D28" s="726"/>
      <c r="E28" s="726"/>
      <c r="F28" s="726"/>
      <c r="G28" s="727"/>
    </row>
    <row r="29" spans="2:7" ht="7.5" customHeight="1">
      <c r="B29" s="726"/>
      <c r="C29" s="726"/>
      <c r="D29" s="726"/>
      <c r="E29" s="726"/>
      <c r="F29" s="726"/>
      <c r="G29" s="727"/>
    </row>
    <row r="30" ht="7.5" customHeight="1"/>
    <row r="31" ht="7.5" customHeight="1"/>
    <row r="32" spans="1:7" ht="9.75" customHeight="1">
      <c r="A32" s="167"/>
      <c r="B32" s="25"/>
      <c r="C32" s="25"/>
      <c r="D32" s="25"/>
      <c r="E32" s="25"/>
      <c r="F32" s="25"/>
      <c r="G32" s="25"/>
    </row>
  </sheetData>
  <sheetProtection/>
  <mergeCells count="9">
    <mergeCell ref="H9:H10"/>
    <mergeCell ref="A2:G2"/>
    <mergeCell ref="A1:G1"/>
    <mergeCell ref="B9:B10"/>
    <mergeCell ref="C9:C10"/>
    <mergeCell ref="D9:D10"/>
    <mergeCell ref="E9:E10"/>
    <mergeCell ref="F9:F10"/>
    <mergeCell ref="G9:G10"/>
  </mergeCells>
  <printOptions/>
  <pageMargins left="0.5905511811023623" right="0.5905511811023623" top="0.7874015748031497" bottom="0.7874015748031497" header="0.31496062992125984" footer="0.31496062992125984"/>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dimension ref="A1:L32"/>
  <sheetViews>
    <sheetView zoomScale="140" zoomScaleNormal="140" zoomScalePageLayoutView="0" workbookViewId="0" topLeftCell="A1">
      <selection activeCell="A1" sqref="A1:H1"/>
    </sheetView>
  </sheetViews>
  <sheetFormatPr defaultColWidth="11.421875" defaultRowHeight="9.75" customHeight="1"/>
  <cols>
    <col min="1" max="1" width="23.7109375" style="72" customWidth="1"/>
    <col min="2" max="6" width="6.7109375" style="72" customWidth="1"/>
    <col min="7" max="7" width="6.8515625" style="72" customWidth="1"/>
    <col min="8" max="8" width="8.7109375" style="73" customWidth="1"/>
    <col min="9" max="10" width="7.28125" style="282" customWidth="1"/>
    <col min="11" max="11" width="23.57421875" style="282" customWidth="1"/>
    <col min="12" max="12" width="11.421875" style="282" customWidth="1"/>
    <col min="13" max="16384" width="11.421875" style="72" customWidth="1"/>
  </cols>
  <sheetData>
    <row r="1" spans="1:8" ht="15" customHeight="1">
      <c r="A1" s="1000" t="s">
        <v>517</v>
      </c>
      <c r="B1" s="1000"/>
      <c r="C1" s="1000"/>
      <c r="D1" s="1000"/>
      <c r="E1" s="1000"/>
      <c r="F1" s="1000"/>
      <c r="G1" s="1000"/>
      <c r="H1" s="1000"/>
    </row>
    <row r="2" spans="1:12" s="65" customFormat="1" ht="9.75" customHeight="1">
      <c r="A2" s="1002" t="s">
        <v>730</v>
      </c>
      <c r="B2" s="1002"/>
      <c r="C2" s="1002"/>
      <c r="D2" s="1002"/>
      <c r="E2" s="1002"/>
      <c r="F2" s="1002"/>
      <c r="G2" s="1002"/>
      <c r="H2" s="1002"/>
      <c r="I2" s="299"/>
      <c r="J2" s="299"/>
      <c r="K2" s="299"/>
      <c r="L2" s="299"/>
    </row>
    <row r="3" spans="1:2" ht="7.5" customHeight="1">
      <c r="A3" s="75"/>
      <c r="B3" s="76"/>
    </row>
    <row r="4" spans="1:12" s="76" customFormat="1" ht="19.5" customHeight="1">
      <c r="A4" s="77"/>
      <c r="B4" s="26" t="s">
        <v>521</v>
      </c>
      <c r="C4" s="26" t="s">
        <v>522</v>
      </c>
      <c r="D4" s="26" t="s">
        <v>523</v>
      </c>
      <c r="E4" s="26" t="s">
        <v>524</v>
      </c>
      <c r="F4" s="26" t="s">
        <v>525</v>
      </c>
      <c r="G4" s="27" t="s">
        <v>526</v>
      </c>
      <c r="H4" s="205" t="s">
        <v>319</v>
      </c>
      <c r="I4" s="371"/>
      <c r="J4" s="384"/>
      <c r="K4" s="384"/>
      <c r="L4" s="284"/>
    </row>
    <row r="5" spans="1:8" ht="7.5" customHeight="1">
      <c r="A5" s="79"/>
      <c r="B5" s="26"/>
      <c r="C5" s="26"/>
      <c r="D5" s="26"/>
      <c r="E5" s="26"/>
      <c r="F5" s="26"/>
      <c r="G5" s="27"/>
      <c r="H5" s="27"/>
    </row>
    <row r="6" spans="1:8" ht="7.5" customHeight="1">
      <c r="A6" s="803" t="s">
        <v>234</v>
      </c>
      <c r="B6" s="873">
        <f aca="true" t="shared" si="0" ref="B6:H6">B7+B8</f>
        <v>4249</v>
      </c>
      <c r="C6" s="873">
        <f t="shared" si="0"/>
        <v>1942</v>
      </c>
      <c r="D6" s="873">
        <f t="shared" si="0"/>
        <v>1449</v>
      </c>
      <c r="E6" s="873">
        <f t="shared" si="0"/>
        <v>1654</v>
      </c>
      <c r="F6" s="873">
        <f t="shared" si="0"/>
        <v>1518</v>
      </c>
      <c r="G6" s="873">
        <f t="shared" si="0"/>
        <v>10812</v>
      </c>
      <c r="H6" s="873">
        <f t="shared" si="0"/>
        <v>225563</v>
      </c>
    </row>
    <row r="7" spans="1:8" ht="7.5" customHeight="1">
      <c r="A7" s="22" t="s">
        <v>450</v>
      </c>
      <c r="B7" s="194">
        <v>2713</v>
      </c>
      <c r="C7" s="194">
        <v>1159</v>
      </c>
      <c r="D7" s="194">
        <v>738</v>
      </c>
      <c r="E7" s="194">
        <v>1005</v>
      </c>
      <c r="F7" s="194">
        <v>969</v>
      </c>
      <c r="G7" s="198">
        <f>SUM(B7:F7)</f>
        <v>6584</v>
      </c>
      <c r="H7" s="108">
        <v>136421</v>
      </c>
    </row>
    <row r="8" spans="1:8" ht="7.5" customHeight="1">
      <c r="A8" s="22" t="s">
        <v>451</v>
      </c>
      <c r="B8" s="194">
        <v>1536</v>
      </c>
      <c r="C8" s="194">
        <v>783</v>
      </c>
      <c r="D8" s="194">
        <v>711</v>
      </c>
      <c r="E8" s="194">
        <v>649</v>
      </c>
      <c r="F8" s="194">
        <v>549</v>
      </c>
      <c r="G8" s="198">
        <f>SUM(B8:F8)</f>
        <v>4228</v>
      </c>
      <c r="H8" s="108">
        <v>89142</v>
      </c>
    </row>
    <row r="9" spans="1:8" ht="7.5" customHeight="1">
      <c r="A9" s="105" t="s">
        <v>19</v>
      </c>
      <c r="B9" s="121">
        <f>B6/B29</f>
        <v>0.016791147994467497</v>
      </c>
      <c r="C9" s="121">
        <f aca="true" t="shared" si="1" ref="C9:H9">C6/C29</f>
        <v>0.01265666038830269</v>
      </c>
      <c r="D9" s="121">
        <f t="shared" si="1"/>
        <v>0.024761611811750232</v>
      </c>
      <c r="E9" s="121">
        <f t="shared" si="1"/>
        <v>0.015626623836742407</v>
      </c>
      <c r="F9" s="121">
        <f>F6/F29</f>
        <v>0.012785741960480435</v>
      </c>
      <c r="G9" s="567">
        <f t="shared" si="1"/>
        <v>0.015679199972156804</v>
      </c>
      <c r="H9" s="121">
        <f t="shared" si="1"/>
        <v>0.019492441076031347</v>
      </c>
    </row>
    <row r="10" spans="1:8" ht="7.5" customHeight="1">
      <c r="A10" s="105"/>
      <c r="B10" s="125"/>
      <c r="C10" s="125"/>
      <c r="D10" s="125"/>
      <c r="E10" s="125"/>
      <c r="F10" s="125"/>
      <c r="G10" s="126"/>
      <c r="H10" s="125"/>
    </row>
    <row r="11" spans="1:8" ht="7.5" customHeight="1">
      <c r="A11" s="830" t="s">
        <v>316</v>
      </c>
      <c r="B11" s="873">
        <f aca="true" t="shared" si="2" ref="B11:H11">B12+B13+B14</f>
        <v>4256</v>
      </c>
      <c r="C11" s="873">
        <f t="shared" si="2"/>
        <v>1951</v>
      </c>
      <c r="D11" s="873">
        <f t="shared" si="2"/>
        <v>1454</v>
      </c>
      <c r="E11" s="873">
        <f t="shared" si="2"/>
        <v>1661</v>
      </c>
      <c r="F11" s="873">
        <f t="shared" si="2"/>
        <v>1520</v>
      </c>
      <c r="G11" s="873">
        <f t="shared" si="2"/>
        <v>10842</v>
      </c>
      <c r="H11" s="873">
        <f t="shared" si="2"/>
        <v>225563</v>
      </c>
    </row>
    <row r="12" spans="1:9" ht="7.5" customHeight="1">
      <c r="A12" s="72" t="s">
        <v>317</v>
      </c>
      <c r="B12" s="70">
        <v>2990</v>
      </c>
      <c r="C12" s="70">
        <v>1106</v>
      </c>
      <c r="D12" s="70">
        <v>1006</v>
      </c>
      <c r="E12" s="70">
        <v>950</v>
      </c>
      <c r="F12" s="70">
        <v>934</v>
      </c>
      <c r="G12" s="198">
        <f>SUM(B12:F12)</f>
        <v>6986</v>
      </c>
      <c r="H12" s="108">
        <f>63261+90900</f>
        <v>154161</v>
      </c>
      <c r="I12" s="108"/>
    </row>
    <row r="13" spans="1:9" ht="7.5" customHeight="1">
      <c r="A13" s="204" t="s">
        <v>318</v>
      </c>
      <c r="B13" s="70">
        <v>779</v>
      </c>
      <c r="C13" s="70">
        <v>501</v>
      </c>
      <c r="D13" s="70">
        <v>257</v>
      </c>
      <c r="E13" s="70">
        <v>395</v>
      </c>
      <c r="F13" s="70">
        <v>392</v>
      </c>
      <c r="G13" s="198">
        <f>SUM(B13:F13)</f>
        <v>2324</v>
      </c>
      <c r="H13" s="108">
        <v>45521</v>
      </c>
      <c r="I13" s="108"/>
    </row>
    <row r="14" spans="1:9" ht="7.5" customHeight="1">
      <c r="A14" s="25" t="s">
        <v>301</v>
      </c>
      <c r="B14" s="70">
        <v>487</v>
      </c>
      <c r="C14" s="70">
        <v>344</v>
      </c>
      <c r="D14" s="70">
        <v>191</v>
      </c>
      <c r="E14" s="70">
        <v>316</v>
      </c>
      <c r="F14" s="70">
        <v>194</v>
      </c>
      <c r="G14" s="198">
        <f>SUM(B14:F14)</f>
        <v>1532</v>
      </c>
      <c r="H14" s="108">
        <v>25881</v>
      </c>
      <c r="I14" s="108"/>
    </row>
    <row r="15" spans="1:8" ht="7.5" customHeight="1">
      <c r="A15" s="25"/>
      <c r="B15" s="188"/>
      <c r="C15" s="188"/>
      <c r="D15" s="188"/>
      <c r="E15" s="188"/>
      <c r="F15" s="188"/>
      <c r="G15" s="71"/>
      <c r="H15" s="125"/>
    </row>
    <row r="16" spans="1:8" ht="7.5" customHeight="1">
      <c r="A16" s="830" t="s">
        <v>401</v>
      </c>
      <c r="B16" s="878"/>
      <c r="C16" s="878"/>
      <c r="D16" s="878"/>
      <c r="E16" s="878"/>
      <c r="F16" s="878"/>
      <c r="G16" s="878"/>
      <c r="H16" s="878"/>
    </row>
    <row r="17" spans="1:8" ht="7.5" customHeight="1">
      <c r="A17" s="23" t="s">
        <v>227</v>
      </c>
      <c r="B17" s="122">
        <v>748</v>
      </c>
      <c r="C17" s="122">
        <v>353</v>
      </c>
      <c r="D17" s="122">
        <v>211</v>
      </c>
      <c r="E17" s="122">
        <v>329</v>
      </c>
      <c r="F17" s="122">
        <v>341</v>
      </c>
      <c r="G17" s="198">
        <f>SUM(B17:F17)</f>
        <v>1982</v>
      </c>
      <c r="H17" s="122">
        <f>58511+17831</f>
        <v>76342</v>
      </c>
    </row>
    <row r="18" spans="1:8" ht="7.5" customHeight="1">
      <c r="A18" s="332" t="s">
        <v>230</v>
      </c>
      <c r="B18" s="123">
        <v>30</v>
      </c>
      <c r="C18" s="123">
        <v>15</v>
      </c>
      <c r="D18" s="123">
        <v>26</v>
      </c>
      <c r="E18" s="123">
        <v>8</v>
      </c>
      <c r="F18" s="123">
        <v>0</v>
      </c>
      <c r="G18" s="198">
        <f>SUM(B18:F18)</f>
        <v>79</v>
      </c>
      <c r="H18" s="201" t="s">
        <v>324</v>
      </c>
    </row>
    <row r="19" spans="1:8" ht="7.5" customHeight="1" thickBot="1">
      <c r="A19" s="837"/>
      <c r="B19" s="837"/>
      <c r="C19" s="837"/>
      <c r="D19" s="837"/>
      <c r="E19" s="837"/>
      <c r="F19" s="837"/>
      <c r="G19" s="837"/>
      <c r="H19" s="844"/>
    </row>
    <row r="20" spans="1:8" ht="7.5" customHeight="1">
      <c r="A20" s="80" t="s">
        <v>173</v>
      </c>
      <c r="B20" s="15"/>
      <c r="C20" s="15"/>
      <c r="D20" s="15"/>
      <c r="E20" s="15"/>
      <c r="F20" s="15"/>
      <c r="G20" s="15"/>
      <c r="H20" s="15"/>
    </row>
    <row r="21" spans="1:8" ht="7.5" customHeight="1">
      <c r="A21" s="200" t="s">
        <v>315</v>
      </c>
      <c r="B21" s="15"/>
      <c r="C21" s="15"/>
      <c r="D21" s="15"/>
      <c r="E21" s="15"/>
      <c r="F21" s="15"/>
      <c r="G21" s="15"/>
      <c r="H21" s="15"/>
    </row>
    <row r="22" spans="1:8" ht="7.5" customHeight="1">
      <c r="A22" s="200" t="s">
        <v>20</v>
      </c>
      <c r="B22" s="17"/>
      <c r="C22" s="17"/>
      <c r="D22" s="17"/>
      <c r="E22" s="17"/>
      <c r="F22" s="27"/>
      <c r="G22" s="15"/>
      <c r="H22" s="15"/>
    </row>
    <row r="23" spans="1:9" ht="7.5" customHeight="1">
      <c r="A23" s="153" t="s">
        <v>228</v>
      </c>
      <c r="B23" s="333"/>
      <c r="C23" s="333"/>
      <c r="D23" s="333"/>
      <c r="E23" s="333"/>
      <c r="F23" s="333"/>
      <c r="G23" s="15"/>
      <c r="H23" s="15"/>
      <c r="I23" s="206"/>
    </row>
    <row r="24" spans="1:9" ht="7.5" customHeight="1">
      <c r="A24" s="118" t="s">
        <v>229</v>
      </c>
      <c r="B24" s="84"/>
      <c r="C24" s="84"/>
      <c r="D24" s="84"/>
      <c r="E24" s="84"/>
      <c r="F24" s="84"/>
      <c r="G24" s="84"/>
      <c r="H24" s="85"/>
      <c r="I24" s="206"/>
    </row>
    <row r="25" ht="7.5" customHeight="1"/>
    <row r="26" ht="7.5" customHeight="1">
      <c r="A26" s="441" t="s">
        <v>231</v>
      </c>
    </row>
    <row r="27" spans="1:8" ht="7.5" customHeight="1">
      <c r="A27" s="441" t="s">
        <v>224</v>
      </c>
      <c r="B27" s="566">
        <v>142771</v>
      </c>
      <c r="C27" s="566">
        <v>87702</v>
      </c>
      <c r="D27" s="566">
        <v>33546</v>
      </c>
      <c r="E27" s="566">
        <v>59109</v>
      </c>
      <c r="F27" s="566">
        <v>68294</v>
      </c>
      <c r="G27" s="566">
        <f>SUM(B27:F27)</f>
        <v>391422</v>
      </c>
      <c r="H27" s="552">
        <v>6405841</v>
      </c>
    </row>
    <row r="28" spans="1:8" ht="7.5" customHeight="1">
      <c r="A28" s="441" t="s">
        <v>225</v>
      </c>
      <c r="B28" s="566">
        <v>110279</v>
      </c>
      <c r="C28" s="566">
        <v>65735</v>
      </c>
      <c r="D28" s="566">
        <v>24972</v>
      </c>
      <c r="E28" s="566">
        <v>46736</v>
      </c>
      <c r="F28" s="566">
        <v>50432</v>
      </c>
      <c r="G28" s="566">
        <f>SUM(B28:F28)</f>
        <v>298154</v>
      </c>
      <c r="H28" s="552">
        <v>5165978</v>
      </c>
    </row>
    <row r="29" spans="1:8" ht="7.5" customHeight="1">
      <c r="A29" s="441" t="s">
        <v>226</v>
      </c>
      <c r="B29" s="566">
        <f>B27+B28</f>
        <v>253050</v>
      </c>
      <c r="C29" s="566">
        <f aca="true" t="shared" si="3" ref="C29:H29">C27+C28</f>
        <v>153437</v>
      </c>
      <c r="D29" s="566">
        <f t="shared" si="3"/>
        <v>58518</v>
      </c>
      <c r="E29" s="566">
        <f t="shared" si="3"/>
        <v>105845</v>
      </c>
      <c r="F29" s="566">
        <f t="shared" si="3"/>
        <v>118726</v>
      </c>
      <c r="G29" s="566">
        <f t="shared" si="3"/>
        <v>689576</v>
      </c>
      <c r="H29" s="566">
        <f t="shared" si="3"/>
        <v>11571819</v>
      </c>
    </row>
    <row r="32" ht="9.75" customHeight="1">
      <c r="A32" s="84"/>
    </row>
  </sheetData>
  <sheetProtection/>
  <mergeCells count="2">
    <mergeCell ref="A1:H1"/>
    <mergeCell ref="A2:H2"/>
  </mergeCells>
  <printOptions/>
  <pageMargins left="0.5905511811023623" right="0.5905511811023623" top="0.7874015748031497" bottom="0.7874015748031497" header="0.31496062992125984" footer="0.31496062992125984"/>
  <pageSetup horizontalDpi="600" verticalDpi="600" orientation="landscape" paperSize="9" r:id="rId2"/>
  <drawing r:id="rId1"/>
</worksheet>
</file>

<file path=xl/worksheets/sheet22.xml><?xml version="1.0" encoding="utf-8"?>
<worksheet xmlns="http://schemas.openxmlformats.org/spreadsheetml/2006/main" xmlns:r="http://schemas.openxmlformats.org/officeDocument/2006/relationships">
  <dimension ref="A1:T43"/>
  <sheetViews>
    <sheetView zoomScale="140" zoomScaleNormal="140" zoomScalePageLayoutView="0" workbookViewId="0" topLeftCell="A1">
      <selection activeCell="A1" sqref="A1:H1"/>
    </sheetView>
  </sheetViews>
  <sheetFormatPr defaultColWidth="11.421875" defaultRowHeight="9.75" customHeight="1"/>
  <cols>
    <col min="1" max="1" width="24.28125" style="72" customWidth="1"/>
    <col min="2" max="2" width="6.7109375" style="72" customWidth="1"/>
    <col min="3" max="3" width="6.140625" style="72" bestFit="1" customWidth="1"/>
    <col min="4" max="6" width="6.7109375" style="72" customWidth="1"/>
    <col min="7" max="7" width="6.8515625" style="72" customWidth="1"/>
    <col min="8" max="8" width="9.8515625" style="73" customWidth="1"/>
    <col min="9" max="10" width="7.28125" style="282" customWidth="1"/>
    <col min="11" max="11" width="23.57421875" style="282" customWidth="1"/>
    <col min="12" max="12" width="11.421875" style="282" customWidth="1"/>
    <col min="13" max="16384" width="11.421875" style="72" customWidth="1"/>
  </cols>
  <sheetData>
    <row r="1" spans="1:20" ht="15" customHeight="1">
      <c r="A1" s="1000" t="s">
        <v>481</v>
      </c>
      <c r="B1" s="1000"/>
      <c r="C1" s="1000"/>
      <c r="D1" s="1000"/>
      <c r="E1" s="1000"/>
      <c r="F1" s="1000"/>
      <c r="G1" s="1000"/>
      <c r="H1" s="1000"/>
      <c r="I1" s="206"/>
      <c r="J1" s="206"/>
      <c r="K1" s="206"/>
      <c r="L1" s="206"/>
      <c r="M1" s="84"/>
      <c r="N1" s="84"/>
      <c r="O1" s="84"/>
      <c r="P1" s="84"/>
      <c r="Q1" s="84"/>
      <c r="R1" s="84"/>
      <c r="S1" s="84"/>
      <c r="T1" s="84"/>
    </row>
    <row r="2" spans="1:20" ht="9.75" customHeight="1">
      <c r="A2" s="1002" t="s">
        <v>729</v>
      </c>
      <c r="B2" s="1002"/>
      <c r="C2" s="1002"/>
      <c r="D2" s="1002"/>
      <c r="E2" s="1002"/>
      <c r="F2" s="1002"/>
      <c r="G2" s="1002"/>
      <c r="H2" s="1002"/>
      <c r="I2" s="206"/>
      <c r="J2" s="206"/>
      <c r="K2" s="206"/>
      <c r="L2" s="206"/>
      <c r="M2" s="84"/>
      <c r="N2" s="84"/>
      <c r="O2" s="84"/>
      <c r="P2" s="84"/>
      <c r="Q2" s="84"/>
      <c r="R2" s="84"/>
      <c r="S2" s="84"/>
      <c r="T2" s="84"/>
    </row>
    <row r="3" spans="1:20" ht="7.5" customHeight="1">
      <c r="A3" s="77"/>
      <c r="I3" s="206"/>
      <c r="J3" s="206"/>
      <c r="K3" s="206"/>
      <c r="L3" s="206"/>
      <c r="M3" s="84"/>
      <c r="N3" s="84"/>
      <c r="O3" s="84"/>
      <c r="P3" s="84"/>
      <c r="Q3" s="84"/>
      <c r="R3" s="84"/>
      <c r="S3" s="84"/>
      <c r="T3" s="84"/>
    </row>
    <row r="4" spans="1:20" ht="19.5" customHeight="1">
      <c r="A4" s="97"/>
      <c r="B4" s="26" t="s">
        <v>521</v>
      </c>
      <c r="C4" s="26" t="s">
        <v>522</v>
      </c>
      <c r="D4" s="26" t="s">
        <v>523</v>
      </c>
      <c r="E4" s="26" t="s">
        <v>524</v>
      </c>
      <c r="F4" s="26" t="s">
        <v>525</v>
      </c>
      <c r="G4" s="27" t="s">
        <v>526</v>
      </c>
      <c r="H4" s="107" t="s">
        <v>535</v>
      </c>
      <c r="I4" s="206"/>
      <c r="J4" s="206"/>
      <c r="K4" s="206"/>
      <c r="L4" s="206"/>
      <c r="M4" s="84"/>
      <c r="N4" s="84"/>
      <c r="O4" s="84"/>
      <c r="P4" s="84"/>
      <c r="Q4" s="84"/>
      <c r="R4" s="84"/>
      <c r="S4" s="84"/>
      <c r="T4" s="84"/>
    </row>
    <row r="5" spans="1:20" s="74" customFormat="1" ht="7.5" customHeight="1">
      <c r="A5" s="880" t="s">
        <v>9</v>
      </c>
      <c r="B5" s="845"/>
      <c r="C5" s="845"/>
      <c r="D5" s="845"/>
      <c r="E5" s="845"/>
      <c r="F5" s="881"/>
      <c r="G5" s="845"/>
      <c r="H5" s="882"/>
      <c r="I5" s="371"/>
      <c r="J5" s="371"/>
      <c r="K5" s="371"/>
      <c r="L5" s="371"/>
      <c r="M5" s="111"/>
      <c r="N5" s="111"/>
      <c r="O5" s="111"/>
      <c r="P5" s="111"/>
      <c r="Q5" s="111"/>
      <c r="R5" s="111"/>
      <c r="S5" s="111"/>
      <c r="T5" s="111"/>
    </row>
    <row r="6" spans="1:20" s="74" customFormat="1" ht="7.5" customHeight="1">
      <c r="A6" s="80" t="s">
        <v>308</v>
      </c>
      <c r="B6" s="218">
        <v>3493</v>
      </c>
      <c r="C6" s="218">
        <v>1895</v>
      </c>
      <c r="D6" s="218">
        <v>1342</v>
      </c>
      <c r="E6" s="218">
        <v>1712</v>
      </c>
      <c r="F6" s="410">
        <v>2001</v>
      </c>
      <c r="G6" s="225">
        <f>SUM(B6:F6)</f>
        <v>10443</v>
      </c>
      <c r="H6" s="429">
        <v>195134</v>
      </c>
      <c r="I6" s="371"/>
      <c r="J6" s="371"/>
      <c r="K6" s="371"/>
      <c r="L6" s="371"/>
      <c r="M6" s="111"/>
      <c r="N6" s="111"/>
      <c r="O6" s="111"/>
      <c r="P6" s="111"/>
      <c r="Q6" s="111"/>
      <c r="R6" s="111"/>
      <c r="S6" s="111"/>
      <c r="T6" s="111"/>
    </row>
    <row r="7" spans="1:20" s="74" customFormat="1" ht="7.5" customHeight="1">
      <c r="A7" s="160" t="s">
        <v>574</v>
      </c>
      <c r="B7" s="430">
        <f>(B6/('page 7 Démo'!B6+'page 7 Démo'!B7+'page 7 Démo'!B8+'page 7 Démo'!B9))</f>
        <v>0.010366707820884183</v>
      </c>
      <c r="C7" s="430">
        <f>(C6/('page 7 Démo'!C6+'page 7 Démo'!C7+'page 7 Démo'!C8+'page 7 Démo'!C9))</f>
        <v>0.009056715590454843</v>
      </c>
      <c r="D7" s="430">
        <f>(D6/('page 7 Démo'!D6+'page 7 Démo'!D7+'page 7 Démo'!D8+'page 7 Démo'!D9))</f>
        <v>0.016550329280023677</v>
      </c>
      <c r="E7" s="430">
        <f>(E6/('page 7 Démo'!E6+'page 7 Démo'!E7+'page 7 Démo'!E8+'page 7 Démo'!E9))</f>
        <v>0.011923998439850671</v>
      </c>
      <c r="F7" s="430">
        <f>(F6/('page 7 Démo'!F6+'page 7 Démo'!F7+'page 7 Démo'!F8+'page 7 Démo'!F9))</f>
        <v>0.012923267694414126</v>
      </c>
      <c r="G7" s="431">
        <f>(G6/('page 7 Démo'!G6+'page 7 Démo'!G7+'page 7 Démo'!G8+'page 7 Démo'!G9))</f>
        <v>0.011281436349494425</v>
      </c>
      <c r="H7" s="379">
        <f>(H6/('page 7 Démo'!H6+'page 7 Démo'!H7+'page 7 Démo'!H8+'page 7 Démo'!H9))</f>
        <v>0.012573777525959425</v>
      </c>
      <c r="I7" s="371"/>
      <c r="J7" s="371"/>
      <c r="K7" s="371"/>
      <c r="L7" s="371"/>
      <c r="M7" s="111"/>
      <c r="N7" s="111"/>
      <c r="O7" s="111"/>
      <c r="P7" s="111"/>
      <c r="Q7" s="111"/>
      <c r="R7" s="111"/>
      <c r="S7" s="111"/>
      <c r="T7" s="111"/>
    </row>
    <row r="8" spans="1:20" s="74" customFormat="1" ht="7.5" customHeight="1">
      <c r="A8" s="160"/>
      <c r="B8" s="227"/>
      <c r="C8" s="227"/>
      <c r="D8" s="227"/>
      <c r="E8" s="227"/>
      <c r="F8" s="227"/>
      <c r="G8" s="432"/>
      <c r="H8" s="227"/>
      <c r="I8" s="371"/>
      <c r="J8" s="371"/>
      <c r="K8" s="371"/>
      <c r="L8" s="371"/>
      <c r="M8" s="111"/>
      <c r="N8" s="111"/>
      <c r="O8" s="111"/>
      <c r="P8" s="111"/>
      <c r="Q8" s="111"/>
      <c r="R8" s="111"/>
      <c r="S8" s="111"/>
      <c r="T8" s="111"/>
    </row>
    <row r="9" spans="1:20" s="74" customFormat="1" ht="7.5" customHeight="1">
      <c r="A9" s="83" t="s">
        <v>218</v>
      </c>
      <c r="B9" s="1018">
        <v>5291</v>
      </c>
      <c r="C9" s="1018">
        <v>2896</v>
      </c>
      <c r="D9" s="1018">
        <v>1161</v>
      </c>
      <c r="E9" s="1018">
        <v>2246</v>
      </c>
      <c r="F9" s="1018">
        <v>3156</v>
      </c>
      <c r="G9" s="1014">
        <f>SUM(B9:F10)</f>
        <v>14750</v>
      </c>
      <c r="H9" s="1016">
        <v>262978</v>
      </c>
      <c r="I9" s="371"/>
      <c r="J9" s="371"/>
      <c r="K9" s="391"/>
      <c r="L9" s="371"/>
      <c r="M9" s="111"/>
      <c r="N9" s="111"/>
      <c r="O9" s="111"/>
      <c r="P9" s="111"/>
      <c r="Q9" s="111"/>
      <c r="R9" s="111"/>
      <c r="S9" s="111"/>
      <c r="T9" s="111"/>
    </row>
    <row r="10" spans="1:20" s="74" customFormat="1" ht="7.5" customHeight="1">
      <c r="A10" s="83" t="s">
        <v>731</v>
      </c>
      <c r="B10" s="1018"/>
      <c r="C10" s="1018"/>
      <c r="D10" s="1018"/>
      <c r="E10" s="1018"/>
      <c r="F10" s="1018"/>
      <c r="G10" s="1015"/>
      <c r="H10" s="1017"/>
      <c r="I10" s="371"/>
      <c r="J10" s="371"/>
      <c r="K10" s="371"/>
      <c r="L10" s="371"/>
      <c r="M10" s="111"/>
      <c r="N10" s="111"/>
      <c r="O10" s="111"/>
      <c r="P10" s="111"/>
      <c r="Q10" s="111"/>
      <c r="R10" s="111"/>
      <c r="S10" s="111"/>
      <c r="T10" s="111"/>
    </row>
    <row r="11" spans="1:20" s="74" customFormat="1" ht="7.5" customHeight="1">
      <c r="A11" s="160" t="s">
        <v>845</v>
      </c>
      <c r="B11" s="563">
        <v>4.06030835628496</v>
      </c>
      <c r="C11" s="563">
        <v>3.630806875898773</v>
      </c>
      <c r="D11" s="563">
        <v>3.728718843037316</v>
      </c>
      <c r="E11" s="563">
        <v>3.921287914367173</v>
      </c>
      <c r="F11" s="563">
        <v>4.891498928240967</v>
      </c>
      <c r="G11" s="760">
        <v>4.1</v>
      </c>
      <c r="H11" s="433">
        <v>4.14731694140006</v>
      </c>
      <c r="I11" s="371"/>
      <c r="J11" s="371"/>
      <c r="K11" s="371"/>
      <c r="L11" s="371"/>
      <c r="M11" s="111"/>
      <c r="N11" s="111"/>
      <c r="O11" s="111"/>
      <c r="P11" s="111"/>
      <c r="Q11" s="111"/>
      <c r="R11" s="111"/>
      <c r="S11" s="111"/>
      <c r="T11" s="111"/>
    </row>
    <row r="12" spans="1:20" s="74" customFormat="1" ht="7.5" customHeight="1">
      <c r="A12" s="160"/>
      <c r="B12" s="433"/>
      <c r="C12" s="433"/>
      <c r="D12" s="434"/>
      <c r="E12" s="434"/>
      <c r="F12" s="434"/>
      <c r="G12" s="211"/>
      <c r="H12" s="435"/>
      <c r="I12" s="371"/>
      <c r="J12" s="371"/>
      <c r="K12" s="371"/>
      <c r="L12" s="371"/>
      <c r="M12" s="111"/>
      <c r="N12" s="111"/>
      <c r="O12" s="111"/>
      <c r="P12" s="111"/>
      <c r="Q12" s="111"/>
      <c r="R12" s="111"/>
      <c r="S12" s="111"/>
      <c r="T12" s="111"/>
    </row>
    <row r="13" spans="1:20" s="74" customFormat="1" ht="7.5" customHeight="1">
      <c r="A13" s="83" t="s">
        <v>414</v>
      </c>
      <c r="B13" s="455">
        <v>18782</v>
      </c>
      <c r="C13" s="455">
        <v>10505</v>
      </c>
      <c r="D13" s="455">
        <v>3737</v>
      </c>
      <c r="E13" s="455">
        <v>7322</v>
      </c>
      <c r="F13" s="455">
        <v>8174</v>
      </c>
      <c r="G13" s="471">
        <f>SUM(B13:F13)</f>
        <v>48520</v>
      </c>
      <c r="H13" s="454">
        <v>964944</v>
      </c>
      <c r="I13" s="371"/>
      <c r="J13" s="371"/>
      <c r="K13" s="371"/>
      <c r="L13" s="371"/>
      <c r="M13" s="111"/>
      <c r="N13" s="111"/>
      <c r="O13" s="111"/>
      <c r="P13" s="111"/>
      <c r="Q13" s="111"/>
      <c r="R13" s="111"/>
      <c r="S13" s="111"/>
      <c r="T13" s="111"/>
    </row>
    <row r="14" spans="1:20" s="74" customFormat="1" ht="7.5" customHeight="1">
      <c r="A14" s="160" t="s">
        <v>181</v>
      </c>
      <c r="B14" s="379">
        <f>B13/SUM('page 7 Démo'!B10:B13)</f>
        <v>0.024751098723701462</v>
      </c>
      <c r="C14" s="379">
        <f>C13/SUM('page 7 Démo'!C10:C13)</f>
        <v>0.023173271214407355</v>
      </c>
      <c r="D14" s="379">
        <f>D13/SUM('page 7 Démo'!D10:D13)</f>
        <v>0.021724470694927275</v>
      </c>
      <c r="E14" s="379">
        <f>E13/SUM('page 7 Démo'!E10:E13)</f>
        <v>0.022703312786039417</v>
      </c>
      <c r="F14" s="379">
        <f>F13/SUM('page 7 Démo'!F10:F13)</f>
        <v>0.022663565005947316</v>
      </c>
      <c r="G14" s="693">
        <f>G13/SUM('page 7 Démo'!G10:G13)</f>
        <v>0.023469636520534482</v>
      </c>
      <c r="H14" s="379">
        <f>H13/SUM('page 7 Démo'!H10:H13)</f>
        <v>0.026134985745314056</v>
      </c>
      <c r="I14" s="371"/>
      <c r="J14" s="371"/>
      <c r="K14" s="371"/>
      <c r="L14" s="371"/>
      <c r="M14" s="111"/>
      <c r="N14" s="111"/>
      <c r="O14" s="111"/>
      <c r="P14" s="111"/>
      <c r="Q14" s="111"/>
      <c r="R14" s="111"/>
      <c r="S14" s="111"/>
      <c r="T14" s="111"/>
    </row>
    <row r="15" spans="1:20" s="74" customFormat="1" ht="8.25" customHeight="1">
      <c r="A15" s="160"/>
      <c r="B15" s="227"/>
      <c r="C15" s="227"/>
      <c r="D15" s="227"/>
      <c r="E15" s="227"/>
      <c r="F15" s="227"/>
      <c r="G15" s="694"/>
      <c r="H15" s="227"/>
      <c r="I15" s="371"/>
      <c r="J15" s="371"/>
      <c r="K15" s="371"/>
      <c r="L15" s="371"/>
      <c r="M15" s="111"/>
      <c r="N15" s="111"/>
      <c r="O15" s="111"/>
      <c r="P15" s="111"/>
      <c r="Q15" s="111"/>
      <c r="R15" s="111"/>
      <c r="S15" s="111"/>
      <c r="T15" s="111"/>
    </row>
    <row r="16" spans="1:20" ht="7.5" customHeight="1">
      <c r="A16" s="83" t="s">
        <v>732</v>
      </c>
      <c r="H16" s="72"/>
      <c r="I16" s="206"/>
      <c r="J16" s="206"/>
      <c r="K16" s="397"/>
      <c r="L16" s="206"/>
      <c r="M16" s="84"/>
      <c r="N16" s="84"/>
      <c r="O16" s="84"/>
      <c r="P16" s="84"/>
      <c r="Q16" s="84"/>
      <c r="R16" s="84"/>
      <c r="S16" s="84"/>
      <c r="T16" s="84"/>
    </row>
    <row r="17" spans="1:20" ht="7.5" customHeight="1">
      <c r="A17" s="83" t="s">
        <v>733</v>
      </c>
      <c r="B17" s="455">
        <v>20330</v>
      </c>
      <c r="C17" s="455">
        <v>12094</v>
      </c>
      <c r="D17" s="455">
        <v>6328</v>
      </c>
      <c r="E17" s="455">
        <v>10549</v>
      </c>
      <c r="F17" s="455">
        <v>12605</v>
      </c>
      <c r="G17" s="495">
        <f>SUM(B17:F17)</f>
        <v>61906</v>
      </c>
      <c r="H17" s="454">
        <v>1172061.9307839836</v>
      </c>
      <c r="I17" s="206"/>
      <c r="J17" s="206"/>
      <c r="K17" s="397"/>
      <c r="L17" s="206"/>
      <c r="M17" s="84"/>
      <c r="N17" s="84"/>
      <c r="O17" s="84"/>
      <c r="P17" s="84"/>
      <c r="Q17" s="84"/>
      <c r="R17" s="84"/>
      <c r="S17" s="84"/>
      <c r="T17" s="84"/>
    </row>
    <row r="18" spans="1:20" ht="7.5" customHeight="1">
      <c r="A18" s="105" t="s">
        <v>30</v>
      </c>
      <c r="B18" s="474">
        <f>(B17/(SUM('page 7 Démo'!B15:B16)))</f>
        <v>0.18572316012570342</v>
      </c>
      <c r="C18" s="474">
        <f>(C17/(SUM('page 7 Démo'!C15:C16)))</f>
        <v>0.16354293441514536</v>
      </c>
      <c r="D18" s="474">
        <f>(D17/(SUM('page 7 Démo'!D15:D16)))</f>
        <v>0.19082657338439735</v>
      </c>
      <c r="E18" s="474">
        <f>(E17/(SUM('page 7 Démo'!E15:E16)))</f>
        <v>0.18014925628020562</v>
      </c>
      <c r="F18" s="474">
        <f>(F17/(SUM('page 7 Démo'!F15:F16)))</f>
        <v>0.1855996466170949</v>
      </c>
      <c r="G18" s="474">
        <f>(G17/(SUM('page 7 Démo'!G15:G16)))</f>
        <v>0.18045923736397637</v>
      </c>
      <c r="H18" s="474">
        <f>(H17/(SUM('page 7 Démo'!H15:H16)))</f>
        <v>0.20349989708935579</v>
      </c>
      <c r="I18" s="206"/>
      <c r="J18" s="206"/>
      <c r="K18" s="206"/>
      <c r="L18" s="206"/>
      <c r="M18" s="84"/>
      <c r="N18" s="84"/>
      <c r="O18" s="84"/>
      <c r="P18" s="84"/>
      <c r="Q18" s="84"/>
      <c r="R18" s="84"/>
      <c r="S18" s="84"/>
      <c r="T18" s="84"/>
    </row>
    <row r="19" spans="1:20" ht="7.5" customHeight="1" thickBot="1">
      <c r="A19" s="855"/>
      <c r="B19" s="843"/>
      <c r="C19" s="843"/>
      <c r="D19" s="843"/>
      <c r="E19" s="843"/>
      <c r="F19" s="843"/>
      <c r="G19" s="843"/>
      <c r="H19" s="843"/>
      <c r="I19" s="206"/>
      <c r="J19" s="206"/>
      <c r="K19" s="206"/>
      <c r="L19" s="206"/>
      <c r="M19" s="84"/>
      <c r="N19" s="84"/>
      <c r="O19" s="84"/>
      <c r="P19" s="84"/>
      <c r="Q19" s="84"/>
      <c r="R19" s="84"/>
      <c r="S19" s="84"/>
      <c r="T19" s="84"/>
    </row>
    <row r="20" spans="1:20" ht="7.5" customHeight="1">
      <c r="A20" s="15" t="s">
        <v>284</v>
      </c>
      <c r="B20" s="15"/>
      <c r="C20" s="15"/>
      <c r="D20" s="15"/>
      <c r="E20" s="15"/>
      <c r="F20" s="15"/>
      <c r="G20" s="15"/>
      <c r="H20" s="15"/>
      <c r="I20" s="206"/>
      <c r="J20" s="206"/>
      <c r="K20" s="206"/>
      <c r="L20" s="206"/>
      <c r="M20" s="84"/>
      <c r="N20" s="84"/>
      <c r="O20" s="84"/>
      <c r="P20" s="84"/>
      <c r="Q20" s="84"/>
      <c r="R20" s="84"/>
      <c r="S20" s="84"/>
      <c r="T20" s="84"/>
    </row>
    <row r="21" spans="1:20" ht="7.5" customHeight="1">
      <c r="A21" s="105" t="s">
        <v>482</v>
      </c>
      <c r="G21" s="334"/>
      <c r="I21" s="206"/>
      <c r="J21" s="206"/>
      <c r="K21" s="206"/>
      <c r="L21" s="206"/>
      <c r="M21" s="84"/>
      <c r="N21" s="84"/>
      <c r="O21" s="84"/>
      <c r="P21" s="84"/>
      <c r="Q21" s="84"/>
      <c r="R21" s="84"/>
      <c r="S21" s="84"/>
      <c r="T21" s="84"/>
    </row>
    <row r="22" spans="1:20" ht="7.5" customHeight="1">
      <c r="A22" s="105" t="s">
        <v>309</v>
      </c>
      <c r="I22" s="206"/>
      <c r="J22" s="206"/>
      <c r="K22" s="206"/>
      <c r="L22" s="206"/>
      <c r="M22" s="84"/>
      <c r="N22" s="84"/>
      <c r="O22" s="84"/>
      <c r="P22" s="84"/>
      <c r="Q22" s="84"/>
      <c r="R22" s="84"/>
      <c r="S22" s="84"/>
      <c r="T22" s="84"/>
    </row>
    <row r="23" spans="1:20" ht="7.5" customHeight="1">
      <c r="A23" s="105" t="s">
        <v>310</v>
      </c>
      <c r="I23" s="206"/>
      <c r="J23" s="206"/>
      <c r="K23" s="206"/>
      <c r="L23" s="206"/>
      <c r="M23" s="84"/>
      <c r="N23" s="84"/>
      <c r="O23" s="84"/>
      <c r="P23" s="84"/>
      <c r="Q23" s="84"/>
      <c r="R23" s="84"/>
      <c r="S23" s="84"/>
      <c r="T23" s="84"/>
    </row>
    <row r="24" spans="1:20" ht="7.5" customHeight="1">
      <c r="A24" s="160" t="s">
        <v>378</v>
      </c>
      <c r="I24" s="206"/>
      <c r="J24" s="206"/>
      <c r="K24" s="206"/>
      <c r="L24" s="206"/>
      <c r="M24" s="84"/>
      <c r="N24" s="84"/>
      <c r="O24" s="84"/>
      <c r="P24" s="84"/>
      <c r="Q24" s="84"/>
      <c r="R24" s="84"/>
      <c r="S24" s="84"/>
      <c r="T24" s="84"/>
    </row>
    <row r="25" ht="7.5" customHeight="1"/>
    <row r="26" ht="7.5" customHeight="1"/>
    <row r="27" ht="7.5" customHeight="1"/>
    <row r="28" ht="7.5" customHeight="1"/>
    <row r="29" ht="7.5" customHeight="1"/>
    <row r="30" ht="7.5" customHeight="1"/>
    <row r="31" ht="9.75" customHeight="1">
      <c r="E31" s="15"/>
    </row>
    <row r="32" ht="9.75" customHeight="1">
      <c r="E32" s="564"/>
    </row>
    <row r="33" ht="9.75" customHeight="1">
      <c r="E33" s="565"/>
    </row>
    <row r="43" ht="9.75" customHeight="1">
      <c r="D43" s="72" t="s">
        <v>337</v>
      </c>
    </row>
  </sheetData>
  <sheetProtection/>
  <mergeCells count="9">
    <mergeCell ref="A1:H1"/>
    <mergeCell ref="A2:H2"/>
    <mergeCell ref="G9:G10"/>
    <mergeCell ref="H9:H10"/>
    <mergeCell ref="F9:F10"/>
    <mergeCell ref="B9:B10"/>
    <mergeCell ref="C9:C10"/>
    <mergeCell ref="D9:D10"/>
    <mergeCell ref="E9:E10"/>
  </mergeCells>
  <printOptions/>
  <pageMargins left="0.5905511811023623" right="0.5905511811023623" top="0.7874015748031497" bottom="0.7874015748031497" header="0.31496062992125984" footer="0.31496062992125984"/>
  <pageSetup horizontalDpi="600" verticalDpi="600" orientation="landscape" paperSize="9" r:id="rId2"/>
  <colBreaks count="1" manualBreakCount="1">
    <brk id="8" max="65535" man="1"/>
  </colBreaks>
  <drawing r:id="rId1"/>
</worksheet>
</file>

<file path=xl/worksheets/sheet23.xml><?xml version="1.0" encoding="utf-8"?>
<worksheet xmlns="http://schemas.openxmlformats.org/spreadsheetml/2006/main" xmlns:r="http://schemas.openxmlformats.org/officeDocument/2006/relationships">
  <dimension ref="A1:L26"/>
  <sheetViews>
    <sheetView zoomScale="140" zoomScaleNormal="140" zoomScalePageLayoutView="0" workbookViewId="0" topLeftCell="A1">
      <selection activeCell="A1" sqref="A1:H1"/>
    </sheetView>
  </sheetViews>
  <sheetFormatPr defaultColWidth="11.421875" defaultRowHeight="9.75" customHeight="1"/>
  <cols>
    <col min="1" max="1" width="24.00390625" style="72" customWidth="1"/>
    <col min="2" max="2" width="6.7109375" style="72" customWidth="1"/>
    <col min="3" max="3" width="6.140625" style="72" bestFit="1" customWidth="1"/>
    <col min="4" max="6" width="6.7109375" style="72" customWidth="1"/>
    <col min="7" max="7" width="6.8515625" style="72" customWidth="1"/>
    <col min="8" max="8" width="10.00390625" style="73" customWidth="1"/>
    <col min="9" max="10" width="7.28125" style="282" customWidth="1"/>
    <col min="11" max="11" width="23.57421875" style="282" customWidth="1"/>
    <col min="12" max="12" width="11.421875" style="282" customWidth="1"/>
    <col min="13" max="16384" width="11.421875" style="72" customWidth="1"/>
  </cols>
  <sheetData>
    <row r="1" spans="1:8" ht="15" customHeight="1">
      <c r="A1" s="1000" t="s">
        <v>11</v>
      </c>
      <c r="B1" s="1000"/>
      <c r="C1" s="1000"/>
      <c r="D1" s="1000"/>
      <c r="E1" s="1000"/>
      <c r="F1" s="1000"/>
      <c r="G1" s="1000"/>
      <c r="H1" s="1000"/>
    </row>
    <row r="2" spans="1:10" ht="9.75" customHeight="1">
      <c r="A2" s="1002" t="s">
        <v>633</v>
      </c>
      <c r="B2" s="1002"/>
      <c r="C2" s="1002"/>
      <c r="D2" s="1002"/>
      <c r="E2" s="1002"/>
      <c r="F2" s="1002"/>
      <c r="G2" s="1002"/>
      <c r="H2" s="1002"/>
      <c r="I2" s="206"/>
      <c r="J2" s="206"/>
    </row>
    <row r="3" ht="7.5" customHeight="1">
      <c r="A3" s="77"/>
    </row>
    <row r="4" spans="1:8" ht="19.5" customHeight="1">
      <c r="A4" s="97"/>
      <c r="B4" s="26" t="s">
        <v>521</v>
      </c>
      <c r="C4" s="26" t="s">
        <v>522</v>
      </c>
      <c r="D4" s="26" t="s">
        <v>523</v>
      </c>
      <c r="E4" s="26" t="s">
        <v>524</v>
      </c>
      <c r="F4" s="26" t="s">
        <v>525</v>
      </c>
      <c r="G4" s="27" t="s">
        <v>526</v>
      </c>
      <c r="H4" s="107" t="s">
        <v>535</v>
      </c>
    </row>
    <row r="5" spans="1:8" ht="7.5" customHeight="1">
      <c r="A5" s="97"/>
      <c r="B5" s="26"/>
      <c r="C5" s="26"/>
      <c r="D5" s="26"/>
      <c r="E5" s="26"/>
      <c r="F5" s="26"/>
      <c r="G5" s="27"/>
      <c r="H5" s="107"/>
    </row>
    <row r="6" spans="1:12" s="74" customFormat="1" ht="7.5" customHeight="1">
      <c r="A6" s="883" t="s">
        <v>144</v>
      </c>
      <c r="B6" s="878"/>
      <c r="C6" s="878"/>
      <c r="D6" s="878"/>
      <c r="E6" s="878"/>
      <c r="F6" s="878"/>
      <c r="G6" s="878"/>
      <c r="H6" s="882"/>
      <c r="J6" s="187"/>
      <c r="K6" s="187"/>
      <c r="L6" s="187"/>
    </row>
    <row r="7" spans="1:12" s="111" customFormat="1" ht="7.5" customHeight="1">
      <c r="A7" s="120" t="s">
        <v>734</v>
      </c>
      <c r="B7" s="122">
        <v>5708</v>
      </c>
      <c r="C7" s="122">
        <v>5245</v>
      </c>
      <c r="D7" s="122">
        <v>2416</v>
      </c>
      <c r="E7" s="122">
        <v>3493</v>
      </c>
      <c r="F7" s="122">
        <v>3437</v>
      </c>
      <c r="G7" s="209">
        <f>SUM(B7:F7)</f>
        <v>20299</v>
      </c>
      <c r="H7" s="218" t="s">
        <v>324</v>
      </c>
      <c r="I7" s="371"/>
      <c r="J7" s="371"/>
      <c r="K7" s="371"/>
      <c r="L7" s="371"/>
    </row>
    <row r="8" spans="1:12" s="111" customFormat="1" ht="7.5" customHeight="1">
      <c r="A8" s="120"/>
      <c r="B8" s="122"/>
      <c r="C8" s="122"/>
      <c r="D8" s="122"/>
      <c r="E8" s="122"/>
      <c r="F8" s="122"/>
      <c r="G8" s="209"/>
      <c r="H8" s="218"/>
      <c r="I8" s="371"/>
      <c r="J8" s="371"/>
      <c r="K8" s="371"/>
      <c r="L8" s="371"/>
    </row>
    <row r="9" spans="1:12" s="74" customFormat="1" ht="7.5" customHeight="1">
      <c r="A9" s="53" t="s">
        <v>146</v>
      </c>
      <c r="B9" s="122">
        <v>568</v>
      </c>
      <c r="C9" s="122">
        <v>539</v>
      </c>
      <c r="D9" s="122">
        <v>275</v>
      </c>
      <c r="E9" s="122">
        <v>370</v>
      </c>
      <c r="F9" s="122">
        <v>473</v>
      </c>
      <c r="G9" s="209">
        <f>SUM(B9:F9)</f>
        <v>2225</v>
      </c>
      <c r="H9" s="218" t="s">
        <v>324</v>
      </c>
      <c r="I9" s="371"/>
      <c r="J9" s="371"/>
      <c r="K9" s="187"/>
      <c r="L9" s="187"/>
    </row>
    <row r="10" spans="1:12" s="74" customFormat="1" ht="7.5" customHeight="1">
      <c r="A10" s="22" t="s">
        <v>483</v>
      </c>
      <c r="B10" s="122">
        <v>409</v>
      </c>
      <c r="C10" s="122">
        <v>447</v>
      </c>
      <c r="D10" s="122">
        <v>180</v>
      </c>
      <c r="E10" s="122">
        <v>276</v>
      </c>
      <c r="F10" s="122">
        <v>302</v>
      </c>
      <c r="G10" s="209">
        <f>SUM(B10:F10)</f>
        <v>1614</v>
      </c>
      <c r="H10" s="218" t="s">
        <v>324</v>
      </c>
      <c r="I10" s="371"/>
      <c r="J10" s="371"/>
      <c r="K10" s="187"/>
      <c r="L10" s="187"/>
    </row>
    <row r="11" spans="1:12" s="74" customFormat="1" ht="7.5" customHeight="1">
      <c r="A11" s="22" t="s">
        <v>484</v>
      </c>
      <c r="B11" s="122">
        <v>321</v>
      </c>
      <c r="C11" s="122">
        <v>312</v>
      </c>
      <c r="D11" s="122">
        <v>171</v>
      </c>
      <c r="E11" s="122">
        <v>188</v>
      </c>
      <c r="F11" s="122">
        <v>264</v>
      </c>
      <c r="G11" s="209">
        <f>SUM(B11:F11)</f>
        <v>1256</v>
      </c>
      <c r="H11" s="218" t="s">
        <v>324</v>
      </c>
      <c r="I11" s="371"/>
      <c r="J11" s="371"/>
      <c r="K11" s="187"/>
      <c r="L11" s="187"/>
    </row>
    <row r="12" spans="10:12" s="74" customFormat="1" ht="7.5" customHeight="1">
      <c r="J12" s="371"/>
      <c r="K12" s="371"/>
      <c r="L12" s="187"/>
    </row>
    <row r="13" spans="1:12" s="74" customFormat="1" ht="7.5" customHeight="1">
      <c r="A13" s="883" t="s">
        <v>10</v>
      </c>
      <c r="B13" s="878">
        <f aca="true" t="shared" si="0" ref="B13:G13">B14+B15</f>
        <v>6431</v>
      </c>
      <c r="C13" s="878">
        <f t="shared" si="0"/>
        <v>5278</v>
      </c>
      <c r="D13" s="878">
        <f t="shared" si="0"/>
        <v>2398</v>
      </c>
      <c r="E13" s="878">
        <f t="shared" si="0"/>
        <v>4347</v>
      </c>
      <c r="F13" s="878">
        <f t="shared" si="0"/>
        <v>3515</v>
      </c>
      <c r="G13" s="878">
        <f t="shared" si="0"/>
        <v>21969</v>
      </c>
      <c r="H13" s="882" t="s">
        <v>324</v>
      </c>
      <c r="I13" s="187"/>
      <c r="J13" s="187"/>
      <c r="K13" s="187"/>
      <c r="L13" s="187"/>
    </row>
    <row r="14" spans="1:12" s="74" customFormat="1" ht="7.5" customHeight="1">
      <c r="A14" s="53" t="s">
        <v>235</v>
      </c>
      <c r="B14" s="122">
        <v>5653</v>
      </c>
      <c r="C14" s="122">
        <v>5233</v>
      </c>
      <c r="D14" s="122">
        <v>2397</v>
      </c>
      <c r="E14" s="122">
        <v>3463</v>
      </c>
      <c r="F14" s="122">
        <v>3427</v>
      </c>
      <c r="G14" s="209">
        <f>SUM(B14:F14)</f>
        <v>20173</v>
      </c>
      <c r="H14" s="218" t="s">
        <v>324</v>
      </c>
      <c r="I14" s="187"/>
      <c r="J14" s="187"/>
      <c r="K14" s="187"/>
      <c r="L14" s="187"/>
    </row>
    <row r="15" spans="1:12" s="74" customFormat="1" ht="7.5" customHeight="1">
      <c r="A15" s="22" t="s">
        <v>236</v>
      </c>
      <c r="B15" s="122">
        <v>778</v>
      </c>
      <c r="C15" s="122">
        <v>45</v>
      </c>
      <c r="D15" s="122">
        <v>1</v>
      </c>
      <c r="E15" s="122">
        <v>884</v>
      </c>
      <c r="F15" s="122">
        <v>88</v>
      </c>
      <c r="G15" s="209">
        <f>SUM(B15:F15)</f>
        <v>1796</v>
      </c>
      <c r="H15" s="218" t="s">
        <v>324</v>
      </c>
      <c r="I15" s="187"/>
      <c r="J15" s="187"/>
      <c r="K15" s="187"/>
      <c r="L15" s="187"/>
    </row>
    <row r="16" spans="1:12" s="74" customFormat="1" ht="7.5" customHeight="1">
      <c r="A16" s="160" t="s">
        <v>17</v>
      </c>
      <c r="B16" s="442">
        <f aca="true" t="shared" si="1" ref="B16:G16">1000*B13/B26</f>
        <v>6.431334429390328</v>
      </c>
      <c r="C16" s="442">
        <f t="shared" si="1"/>
        <v>8.667050920155738</v>
      </c>
      <c r="D16" s="442">
        <f t="shared" si="1"/>
        <v>10.104031921662152</v>
      </c>
      <c r="E16" s="442">
        <f t="shared" si="1"/>
        <v>9.828348692718837</v>
      </c>
      <c r="F16" s="442">
        <f t="shared" si="1"/>
        <v>6.9853635270620735</v>
      </c>
      <c r="G16" s="443">
        <f t="shared" si="1"/>
        <v>7.869288640521195</v>
      </c>
      <c r="H16" s="218" t="s">
        <v>324</v>
      </c>
      <c r="J16" s="187"/>
      <c r="K16" s="187"/>
      <c r="L16" s="187"/>
    </row>
    <row r="17" spans="1:8" ht="7.5" customHeight="1" thickBot="1">
      <c r="A17" s="855"/>
      <c r="B17" s="843"/>
      <c r="C17" s="843"/>
      <c r="D17" s="843"/>
      <c r="E17" s="843"/>
      <c r="F17" s="843"/>
      <c r="G17" s="843"/>
      <c r="H17" s="843"/>
    </row>
    <row r="18" spans="1:8" ht="7.5" customHeight="1">
      <c r="A18" s="15" t="s">
        <v>285</v>
      </c>
      <c r="B18" s="15"/>
      <c r="C18" s="15"/>
      <c r="D18" s="15"/>
      <c r="E18" s="15"/>
      <c r="F18" s="15"/>
      <c r="G18" s="15"/>
      <c r="H18" s="15"/>
    </row>
    <row r="19" ht="7.5" customHeight="1">
      <c r="A19" s="160" t="s">
        <v>12</v>
      </c>
    </row>
    <row r="20" ht="7.5" customHeight="1"/>
    <row r="21" ht="7.5" customHeight="1"/>
    <row r="22" ht="7.5" customHeight="1"/>
    <row r="23" ht="7.5" customHeight="1"/>
    <row r="24" ht="7.5" customHeight="1"/>
    <row r="25" ht="7.5" customHeight="1"/>
    <row r="26" spans="1:9" ht="7.5" customHeight="1">
      <c r="A26" s="441" t="s">
        <v>379</v>
      </c>
      <c r="B26" s="566">
        <v>999948</v>
      </c>
      <c r="C26" s="566">
        <v>608973</v>
      </c>
      <c r="D26" s="566">
        <v>237331</v>
      </c>
      <c r="E26" s="566">
        <v>442292</v>
      </c>
      <c r="F26" s="566">
        <v>503195</v>
      </c>
      <c r="G26" s="566">
        <f>SUM(B26:F26)</f>
        <v>2791739</v>
      </c>
      <c r="H26" s="566">
        <v>49430454</v>
      </c>
      <c r="I26" s="187"/>
    </row>
    <row r="27" ht="7.5" customHeight="1"/>
    <row r="28" ht="7.5" customHeight="1"/>
    <row r="29" ht="7.5" customHeight="1"/>
  </sheetData>
  <sheetProtection/>
  <mergeCells count="2">
    <mergeCell ref="A1:H1"/>
    <mergeCell ref="A2:H2"/>
  </mergeCells>
  <printOptions/>
  <pageMargins left="0.5905511811023623" right="0.5905511811023623" top="0.7874015748031497" bottom="0.7874015748031497" header="0.31496062992125984" footer="0.31496062992125984"/>
  <pageSetup horizontalDpi="600" verticalDpi="600" orientation="landscape" paperSize="9" r:id="rId2"/>
  <drawing r:id="rId1"/>
</worksheet>
</file>

<file path=xl/worksheets/sheet24.xml><?xml version="1.0" encoding="utf-8"?>
<worksheet xmlns="http://schemas.openxmlformats.org/spreadsheetml/2006/main" xmlns:r="http://schemas.openxmlformats.org/officeDocument/2006/relationships">
  <dimension ref="A1:L36"/>
  <sheetViews>
    <sheetView zoomScale="140" zoomScaleNormal="140" zoomScalePageLayoutView="0" workbookViewId="0" topLeftCell="A1">
      <selection activeCell="A1" sqref="A1:H1"/>
    </sheetView>
  </sheetViews>
  <sheetFormatPr defaultColWidth="11.421875" defaultRowHeight="9.75" customHeight="1"/>
  <cols>
    <col min="1" max="1" width="23.7109375" style="72" customWidth="1"/>
    <col min="2" max="2" width="7.140625" style="72" bestFit="1" customWidth="1"/>
    <col min="3" max="6" width="6.7109375" style="72" customWidth="1"/>
    <col min="7" max="7" width="6.8515625" style="72" customWidth="1"/>
    <col min="8" max="8" width="9.7109375" style="73" customWidth="1"/>
    <col min="9" max="10" width="7.7109375" style="282" customWidth="1"/>
    <col min="11" max="11" width="21.421875" style="300" customWidth="1"/>
    <col min="12" max="12" width="11.421875" style="300" customWidth="1"/>
    <col min="13" max="16384" width="11.421875" style="72" customWidth="1"/>
  </cols>
  <sheetData>
    <row r="1" spans="1:8" ht="15" customHeight="1">
      <c r="A1" s="1000" t="s">
        <v>510</v>
      </c>
      <c r="B1" s="1000"/>
      <c r="C1" s="1000"/>
      <c r="D1" s="1000"/>
      <c r="E1" s="1000"/>
      <c r="F1" s="1000"/>
      <c r="G1" s="1000"/>
      <c r="H1" s="1000"/>
    </row>
    <row r="2" spans="1:8" ht="9.75" customHeight="1">
      <c r="A2" s="1002" t="s">
        <v>735</v>
      </c>
      <c r="B2" s="1002"/>
      <c r="C2" s="1002"/>
      <c r="D2" s="1002"/>
      <c r="E2" s="1002"/>
      <c r="F2" s="1002"/>
      <c r="G2" s="1002"/>
      <c r="H2" s="1002"/>
    </row>
    <row r="3" spans="1:2" ht="7.5" customHeight="1">
      <c r="A3" s="75"/>
      <c r="B3" s="76"/>
    </row>
    <row r="4" spans="1:9" ht="19.5" customHeight="1">
      <c r="A4" s="77"/>
      <c r="B4" s="26" t="s">
        <v>521</v>
      </c>
      <c r="C4" s="26" t="s">
        <v>531</v>
      </c>
      <c r="D4" s="26" t="s">
        <v>523</v>
      </c>
      <c r="E4" s="26" t="s">
        <v>524</v>
      </c>
      <c r="F4" s="26" t="s">
        <v>525</v>
      </c>
      <c r="G4" s="27" t="s">
        <v>532</v>
      </c>
      <c r="H4" s="107" t="s">
        <v>527</v>
      </c>
      <c r="I4" s="309"/>
    </row>
    <row r="5" spans="1:8" ht="7.5" customHeight="1">
      <c r="A5" s="79"/>
      <c r="B5" s="26"/>
      <c r="C5" s="26"/>
      <c r="D5" s="26"/>
      <c r="E5" s="26"/>
      <c r="F5" s="26"/>
      <c r="G5" s="27"/>
      <c r="H5" s="27"/>
    </row>
    <row r="6" spans="1:9" ht="7.5" customHeight="1">
      <c r="A6" s="830" t="s">
        <v>513</v>
      </c>
      <c r="B6" s="831">
        <v>657797.648261</v>
      </c>
      <c r="C6" s="831">
        <v>365335.244382</v>
      </c>
      <c r="D6" s="831">
        <v>149358.327751</v>
      </c>
      <c r="E6" s="831">
        <v>278359.513075</v>
      </c>
      <c r="F6" s="831">
        <v>387906.14988</v>
      </c>
      <c r="G6" s="831">
        <f>SUM(B6:F6)</f>
        <v>1838756.883349</v>
      </c>
      <c r="H6" s="831">
        <v>32520024.045530997</v>
      </c>
      <c r="I6" s="285"/>
    </row>
    <row r="7" spans="1:9" ht="7.5" customHeight="1">
      <c r="A7" s="72" t="s">
        <v>166</v>
      </c>
      <c r="B7" s="70">
        <v>554903.6690000414</v>
      </c>
      <c r="C7" s="70">
        <v>332026.7192199212</v>
      </c>
      <c r="D7" s="70">
        <v>130009.72379466378</v>
      </c>
      <c r="E7" s="70">
        <v>243268.1616523435</v>
      </c>
      <c r="F7" s="70">
        <v>270860.3918564559</v>
      </c>
      <c r="G7" s="189">
        <v>1531068.66552343</v>
      </c>
      <c r="H7" s="70">
        <v>27106997</v>
      </c>
      <c r="I7" s="285"/>
    </row>
    <row r="8" spans="1:9" ht="7.5" customHeight="1">
      <c r="A8" s="105" t="s">
        <v>511</v>
      </c>
      <c r="B8" s="143">
        <v>0.62630032</v>
      </c>
      <c r="C8" s="143">
        <v>0.59938055</v>
      </c>
      <c r="D8" s="143">
        <v>0.65191632</v>
      </c>
      <c r="E8" s="143">
        <v>0.63934303</v>
      </c>
      <c r="F8" s="143">
        <v>0.72124278</v>
      </c>
      <c r="G8" s="704">
        <v>0.64150622</v>
      </c>
      <c r="H8" s="143">
        <v>0.57764356</v>
      </c>
      <c r="I8" s="285"/>
    </row>
    <row r="9" spans="1:9" ht="7.5" customHeight="1">
      <c r="A9" s="72" t="s">
        <v>167</v>
      </c>
      <c r="B9" s="70">
        <v>69743.37120567175</v>
      </c>
      <c r="C9" s="70">
        <v>10297.117997099336</v>
      </c>
      <c r="D9" s="70">
        <v>7808.258680684021</v>
      </c>
      <c r="E9" s="70">
        <v>13545.778976217338</v>
      </c>
      <c r="F9" s="70">
        <v>99108.9714422796</v>
      </c>
      <c r="G9" s="71">
        <f>SUM(B9:F9)</f>
        <v>200503.49830195203</v>
      </c>
      <c r="H9" s="70">
        <v>3108606.0089248116</v>
      </c>
      <c r="I9" s="285"/>
    </row>
    <row r="10" spans="1:9" ht="7.5" customHeight="1">
      <c r="A10" s="105" t="s">
        <v>384</v>
      </c>
      <c r="B10" s="143">
        <v>0.10602557</v>
      </c>
      <c r="C10" s="143">
        <v>0.02818539</v>
      </c>
      <c r="D10" s="143">
        <v>0.0522787</v>
      </c>
      <c r="E10" s="143">
        <v>0.04866289</v>
      </c>
      <c r="F10" s="143">
        <v>0.25549729</v>
      </c>
      <c r="G10" s="18">
        <v>0.10904296</v>
      </c>
      <c r="H10" s="143">
        <v>0.09559052</v>
      </c>
      <c r="I10" s="285"/>
    </row>
    <row r="11" spans="1:9" ht="7.5" customHeight="1">
      <c r="A11" s="104" t="s">
        <v>613</v>
      </c>
      <c r="B11" s="70">
        <v>33150.6080553917</v>
      </c>
      <c r="C11" s="70">
        <v>23011.407164525786</v>
      </c>
      <c r="D11" s="70">
        <v>11540.345275509235</v>
      </c>
      <c r="E11" s="70">
        <v>21545.572446383536</v>
      </c>
      <c r="F11" s="70">
        <v>17936.786581469572</v>
      </c>
      <c r="G11" s="71">
        <v>107184.71952327978</v>
      </c>
      <c r="H11" s="70">
        <v>2304420.935904799</v>
      </c>
      <c r="I11" s="285"/>
    </row>
    <row r="12" spans="1:8" ht="7.5" customHeight="1">
      <c r="A12" s="97"/>
      <c r="B12" s="93"/>
      <c r="C12" s="93"/>
      <c r="D12" s="93"/>
      <c r="E12" s="93"/>
      <c r="F12" s="93"/>
      <c r="G12" s="93"/>
      <c r="H12" s="93"/>
    </row>
    <row r="13" spans="1:8" ht="7.5" customHeight="1">
      <c r="A13" s="884" t="s">
        <v>383</v>
      </c>
      <c r="B13" s="854"/>
      <c r="C13" s="854"/>
      <c r="D13" s="854"/>
      <c r="E13" s="854"/>
      <c r="F13" s="854"/>
      <c r="G13" s="831"/>
      <c r="H13" s="854"/>
    </row>
    <row r="14" spans="1:9" ht="7.5" customHeight="1">
      <c r="A14" s="111" t="s">
        <v>514</v>
      </c>
      <c r="B14" s="95">
        <v>347536.3434679552</v>
      </c>
      <c r="C14" s="95">
        <v>199010.35657009415</v>
      </c>
      <c r="D14" s="95">
        <v>84755.46100699417</v>
      </c>
      <c r="E14" s="95">
        <v>155531.8027537248</v>
      </c>
      <c r="F14" s="95">
        <v>195356.10149903045</v>
      </c>
      <c r="G14" s="30">
        <f>SUM(B14:F14)</f>
        <v>982190.0652977988</v>
      </c>
      <c r="H14" s="95">
        <f>H7*H8</f>
        <v>15658182.24798932</v>
      </c>
      <c r="I14" s="285"/>
    </row>
    <row r="15" spans="1:9" ht="7.5" customHeight="1">
      <c r="A15" s="74" t="s">
        <v>515</v>
      </c>
      <c r="B15" s="70">
        <v>199893.18243033154</v>
      </c>
      <c r="C15" s="70">
        <v>129038.94622869161</v>
      </c>
      <c r="D15" s="70">
        <v>43629.7428541732</v>
      </c>
      <c r="E15" s="70">
        <v>84574.13593625267</v>
      </c>
      <c r="F15" s="70">
        <v>71776.98453987644</v>
      </c>
      <c r="G15" s="189">
        <f>SUM(B15:F15)</f>
        <v>528912.9919893254</v>
      </c>
      <c r="H15" s="123">
        <v>10758415.80261888</v>
      </c>
      <c r="I15" s="285"/>
    </row>
    <row r="16" spans="1:9" ht="7.5" customHeight="1">
      <c r="A16" s="166" t="s">
        <v>573</v>
      </c>
      <c r="B16" s="188">
        <v>65406.50278908932</v>
      </c>
      <c r="C16" s="188">
        <v>55110.85466135379</v>
      </c>
      <c r="D16" s="188">
        <v>14305.375698601843</v>
      </c>
      <c r="E16" s="188">
        <v>34520.51650964123</v>
      </c>
      <c r="F16" s="188">
        <v>17843.0209231493</v>
      </c>
      <c r="G16" s="561">
        <f>SUM(B16:F16)</f>
        <v>187186.2705818355</v>
      </c>
      <c r="H16" s="190">
        <v>3944276</v>
      </c>
      <c r="I16" s="285"/>
    </row>
    <row r="17" spans="1:9" ht="7.5" customHeight="1">
      <c r="A17" s="94" t="s">
        <v>516</v>
      </c>
      <c r="B17" s="70">
        <v>7474.143101730612</v>
      </c>
      <c r="C17" s="70">
        <v>3977.4164211311545</v>
      </c>
      <c r="D17" s="70">
        <v>1624.51993349557</v>
      </c>
      <c r="E17" s="70">
        <v>3162.222962367743</v>
      </c>
      <c r="F17" s="70">
        <v>3727.3058175501064</v>
      </c>
      <c r="G17" s="189">
        <f>SUM(B17:F17)</f>
        <v>19965.608236275188</v>
      </c>
      <c r="H17" s="123">
        <v>690398.9493918</v>
      </c>
      <c r="I17" s="285"/>
    </row>
    <row r="18" spans="1:9" ht="7.5" customHeight="1">
      <c r="A18" s="830" t="s">
        <v>302</v>
      </c>
      <c r="B18" s="885">
        <v>0.072</v>
      </c>
      <c r="C18" s="885">
        <v>0.063</v>
      </c>
      <c r="D18" s="885">
        <v>0.037</v>
      </c>
      <c r="E18" s="885">
        <v>0.05</v>
      </c>
      <c r="F18" s="885">
        <v>0.033</v>
      </c>
      <c r="G18" s="886">
        <v>0.056</v>
      </c>
      <c r="H18" s="849">
        <v>0.097</v>
      </c>
      <c r="I18" s="300"/>
    </row>
    <row r="19" spans="1:8" ht="7.5" customHeight="1" thickBot="1">
      <c r="A19" s="887"/>
      <c r="B19" s="861"/>
      <c r="C19" s="861"/>
      <c r="D19" s="861"/>
      <c r="E19" s="861"/>
      <c r="F19" s="861"/>
      <c r="G19" s="860"/>
      <c r="H19" s="861"/>
    </row>
    <row r="20" spans="1:12" ht="7.5" customHeight="1">
      <c r="A20" s="212" t="s">
        <v>736</v>
      </c>
      <c r="B20" s="25"/>
      <c r="C20" s="25"/>
      <c r="D20" s="25"/>
      <c r="E20" s="25"/>
      <c r="F20" s="25"/>
      <c r="G20" s="25"/>
      <c r="H20" s="31"/>
      <c r="L20" s="72"/>
    </row>
    <row r="21" spans="1:8" ht="7.5" customHeight="1">
      <c r="A21" s="167" t="s">
        <v>498</v>
      </c>
      <c r="B21" s="25"/>
      <c r="C21" s="25"/>
      <c r="D21" s="25"/>
      <c r="E21" s="25"/>
      <c r="F21" s="25"/>
      <c r="G21" s="25"/>
      <c r="H21" s="31"/>
    </row>
    <row r="22" spans="1:8" ht="7.5" customHeight="1">
      <c r="A22" s="167"/>
      <c r="B22" s="25"/>
      <c r="C22" s="25"/>
      <c r="D22" s="25"/>
      <c r="E22" s="25"/>
      <c r="F22" s="25"/>
      <c r="G22" s="25"/>
      <c r="H22" s="31"/>
    </row>
    <row r="23" spans="2:8" ht="7.5" customHeight="1">
      <c r="B23" s="786"/>
      <c r="C23" s="786"/>
      <c r="D23" s="786"/>
      <c r="E23" s="786"/>
      <c r="F23" s="786"/>
      <c r="G23" s="786"/>
      <c r="H23" s="786"/>
    </row>
    <row r="24" spans="7:8" ht="7.5" customHeight="1">
      <c r="G24" s="73"/>
      <c r="H24" s="72"/>
    </row>
    <row r="25" spans="2:8" ht="7.5" customHeight="1">
      <c r="B25" s="70"/>
      <c r="C25" s="70"/>
      <c r="D25" s="70"/>
      <c r="E25" s="70"/>
      <c r="F25" s="70"/>
      <c r="G25" s="70"/>
      <c r="H25" s="70"/>
    </row>
    <row r="26" spans="1:8" ht="7.5" customHeight="1">
      <c r="A26" s="441" t="s">
        <v>53</v>
      </c>
      <c r="B26" s="562">
        <f>B7*B18</f>
        <v>39953.06416800298</v>
      </c>
      <c r="C26" s="562">
        <f>C7*C18</f>
        <v>20917.683310855038</v>
      </c>
      <c r="D26" s="562">
        <f>D7*D18</f>
        <v>4810.359780402559</v>
      </c>
      <c r="E26" s="562">
        <f>E7*E18</f>
        <v>12163.408082617176</v>
      </c>
      <c r="F26" s="562">
        <f>F7*F18</f>
        <v>8938.392931263044</v>
      </c>
      <c r="G26" s="562">
        <f>SUM(B26:F26)</f>
        <v>86782.9082731408</v>
      </c>
      <c r="H26" s="562">
        <f>H7*H18</f>
        <v>2629378.7090000003</v>
      </c>
    </row>
    <row r="27" spans="2:8" ht="7.5" customHeight="1">
      <c r="B27" s="70"/>
      <c r="C27" s="70"/>
      <c r="D27" s="70"/>
      <c r="E27" s="70"/>
      <c r="F27" s="70"/>
      <c r="G27" s="71"/>
      <c r="H27" s="70"/>
    </row>
    <row r="28" spans="1:8" ht="8.25" customHeight="1">
      <c r="A28" s="441"/>
      <c r="B28" s="705"/>
      <c r="C28" s="705"/>
      <c r="D28" s="705"/>
      <c r="E28" s="705"/>
      <c r="F28" s="705"/>
      <c r="G28" s="705"/>
      <c r="H28" s="705"/>
    </row>
    <row r="29" ht="9.75" customHeight="1">
      <c r="B29" s="84"/>
    </row>
    <row r="36" spans="2:8" ht="9.75" customHeight="1">
      <c r="B36" s="115"/>
      <c r="C36" s="115"/>
      <c r="D36" s="115"/>
      <c r="E36" s="115"/>
      <c r="F36" s="115"/>
      <c r="G36" s="115"/>
      <c r="H36" s="115"/>
    </row>
  </sheetData>
  <sheetProtection/>
  <mergeCells count="2">
    <mergeCell ref="A1:H1"/>
    <mergeCell ref="A2:H2"/>
  </mergeCells>
  <printOptions/>
  <pageMargins left="0.5905511811023623" right="0.5905511811023623" top="0.7874015748031497" bottom="0.7874015748031497" header="0.31496062992125984" footer="0.31496062992125984"/>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P26"/>
  <sheetViews>
    <sheetView zoomScale="140" zoomScaleNormal="140" zoomScalePageLayoutView="0" workbookViewId="0" topLeftCell="A1">
      <selection activeCell="A1" sqref="A1:H1"/>
    </sheetView>
  </sheetViews>
  <sheetFormatPr defaultColWidth="11.421875" defaultRowHeight="9.75" customHeight="1"/>
  <cols>
    <col min="1" max="1" width="24.140625" style="72" customWidth="1"/>
    <col min="2" max="2" width="6.7109375" style="72" customWidth="1"/>
    <col min="3" max="3" width="6.8515625" style="72" bestFit="1" customWidth="1"/>
    <col min="4" max="6" width="6.7109375" style="72" customWidth="1"/>
    <col min="7" max="7" width="6.8515625" style="72" customWidth="1"/>
    <col min="8" max="8" width="9.421875" style="73" customWidth="1"/>
    <col min="9" max="10" width="7.7109375" style="282" customWidth="1"/>
    <col min="11" max="11" width="21.421875" style="300" customWidth="1"/>
    <col min="12" max="12" width="11.421875" style="300" customWidth="1"/>
    <col min="13" max="16384" width="11.421875" style="72" customWidth="1"/>
  </cols>
  <sheetData>
    <row r="1" spans="1:15" ht="15" customHeight="1">
      <c r="A1" s="1000" t="s">
        <v>572</v>
      </c>
      <c r="B1" s="1000"/>
      <c r="C1" s="1000"/>
      <c r="D1" s="1000"/>
      <c r="E1" s="1000"/>
      <c r="F1" s="1000"/>
      <c r="G1" s="1000"/>
      <c r="H1" s="1000"/>
      <c r="I1" s="206"/>
      <c r="J1" s="206"/>
      <c r="K1" s="303"/>
      <c r="L1" s="303"/>
      <c r="M1" s="84"/>
      <c r="N1" s="84"/>
      <c r="O1" s="84"/>
    </row>
    <row r="2" spans="1:15" ht="8.25" customHeight="1">
      <c r="A2" s="1010" t="s">
        <v>874</v>
      </c>
      <c r="B2" s="1010"/>
      <c r="C2" s="1010"/>
      <c r="D2" s="1010"/>
      <c r="E2" s="1010"/>
      <c r="F2" s="1010"/>
      <c r="G2" s="1010"/>
      <c r="H2" s="1010"/>
      <c r="I2" s="206"/>
      <c r="J2" s="206"/>
      <c r="K2" s="303"/>
      <c r="L2" s="303"/>
      <c r="M2" s="84"/>
      <c r="N2" s="84"/>
      <c r="O2" s="84"/>
    </row>
    <row r="3" spans="1:15" ht="9.75" customHeight="1">
      <c r="A3" s="75"/>
      <c r="B3" s="76"/>
      <c r="I3" s="206"/>
      <c r="J3" s="206"/>
      <c r="K3" s="303"/>
      <c r="L3" s="303"/>
      <c r="M3" s="84"/>
      <c r="N3" s="84"/>
      <c r="O3" s="84"/>
    </row>
    <row r="4" spans="1:15" s="76" customFormat="1" ht="19.5" customHeight="1">
      <c r="A4" s="77"/>
      <c r="B4" s="26" t="s">
        <v>521</v>
      </c>
      <c r="C4" s="26" t="s">
        <v>531</v>
      </c>
      <c r="D4" s="26" t="s">
        <v>523</v>
      </c>
      <c r="E4" s="26" t="s">
        <v>524</v>
      </c>
      <c r="F4" s="26" t="s">
        <v>525</v>
      </c>
      <c r="G4" s="27" t="s">
        <v>532</v>
      </c>
      <c r="H4" s="107" t="s">
        <v>527</v>
      </c>
      <c r="I4" s="384"/>
      <c r="J4" s="384"/>
      <c r="K4" s="303"/>
      <c r="L4" s="303"/>
      <c r="M4" s="207"/>
      <c r="N4" s="207"/>
      <c r="O4" s="207"/>
    </row>
    <row r="5" spans="1:15" ht="7.5" customHeight="1">
      <c r="A5" s="79"/>
      <c r="B5" s="26"/>
      <c r="C5" s="26"/>
      <c r="D5" s="26"/>
      <c r="E5" s="26"/>
      <c r="F5" s="26"/>
      <c r="G5" s="27"/>
      <c r="H5" s="27"/>
      <c r="I5" s="206"/>
      <c r="J5" s="206"/>
      <c r="K5" s="303"/>
      <c r="L5" s="303"/>
      <c r="M5" s="84"/>
      <c r="N5" s="84"/>
      <c r="O5" s="84"/>
    </row>
    <row r="6" spans="1:15" ht="7.5" customHeight="1">
      <c r="A6" s="830" t="s">
        <v>774</v>
      </c>
      <c r="B6" s="878">
        <f>SUM(B7:B8)</f>
        <v>73900</v>
      </c>
      <c r="C6" s="878">
        <f>SUM(C7:C8)</f>
        <v>59671</v>
      </c>
      <c r="D6" s="878">
        <f>SUM(D7:D8)</f>
        <v>15702</v>
      </c>
      <c r="E6" s="878">
        <f>SUM(E7:E8)</f>
        <v>37209</v>
      </c>
      <c r="F6" s="878">
        <f>SUM(F7:F8)</f>
        <v>20367</v>
      </c>
      <c r="G6" s="878">
        <f>SUM(B6:F6)</f>
        <v>206849</v>
      </c>
      <c r="H6" s="878">
        <f>SUM(H7:H8)</f>
        <v>4524347</v>
      </c>
      <c r="I6" s="398"/>
      <c r="J6" s="206"/>
      <c r="K6" s="303"/>
      <c r="L6" s="303"/>
      <c r="M6" s="84"/>
      <c r="N6" s="84"/>
      <c r="O6" s="84"/>
    </row>
    <row r="7" spans="1:15" ht="7.5" customHeight="1">
      <c r="A7" s="74" t="s">
        <v>499</v>
      </c>
      <c r="B7" s="86">
        <v>61271</v>
      </c>
      <c r="C7" s="86">
        <v>39338</v>
      </c>
      <c r="D7" s="86">
        <v>10827</v>
      </c>
      <c r="E7" s="86">
        <v>28319</v>
      </c>
      <c r="F7" s="86">
        <v>10776</v>
      </c>
      <c r="G7" s="209">
        <f>SUM(B7:F7)</f>
        <v>150531</v>
      </c>
      <c r="H7" s="169">
        <v>3817498</v>
      </c>
      <c r="I7" s="398"/>
      <c r="J7" s="206"/>
      <c r="K7" s="303"/>
      <c r="L7" s="303"/>
      <c r="M7" s="84"/>
      <c r="N7" s="84"/>
      <c r="O7" s="84"/>
    </row>
    <row r="8" spans="1:15" ht="7.5" customHeight="1">
      <c r="A8" s="74" t="s">
        <v>500</v>
      </c>
      <c r="B8" s="86">
        <v>12629</v>
      </c>
      <c r="C8" s="86">
        <v>20333</v>
      </c>
      <c r="D8" s="86">
        <v>4875</v>
      </c>
      <c r="E8" s="86">
        <v>8890</v>
      </c>
      <c r="F8" s="86">
        <v>9591</v>
      </c>
      <c r="G8" s="209">
        <f>SUM(B8:F8)</f>
        <v>56318</v>
      </c>
      <c r="H8" s="169">
        <v>706849</v>
      </c>
      <c r="I8" s="398"/>
      <c r="J8" s="206"/>
      <c r="K8" s="303"/>
      <c r="L8" s="303"/>
      <c r="M8" s="84"/>
      <c r="N8" s="84"/>
      <c r="O8" s="84"/>
    </row>
    <row r="9" spans="1:15" ht="7.5" customHeight="1">
      <c r="A9" s="74" t="s">
        <v>385</v>
      </c>
      <c r="B9" s="707">
        <v>5.42</v>
      </c>
      <c r="C9" s="707">
        <v>5</v>
      </c>
      <c r="D9" s="707">
        <v>4.53</v>
      </c>
      <c r="E9" s="707">
        <v>4.78</v>
      </c>
      <c r="F9" s="707">
        <v>4.7</v>
      </c>
      <c r="G9" s="706">
        <v>5.05</v>
      </c>
      <c r="H9" s="707">
        <v>5.6</v>
      </c>
      <c r="I9" s="398"/>
      <c r="J9" s="206"/>
      <c r="K9" s="303"/>
      <c r="L9" s="303"/>
      <c r="M9" s="84"/>
      <c r="N9" s="84"/>
      <c r="O9" s="84"/>
    </row>
    <row r="10" spans="1:15" ht="7.5" customHeight="1">
      <c r="A10" s="170" t="s">
        <v>168</v>
      </c>
      <c r="B10" s="171">
        <v>0.117444745969322</v>
      </c>
      <c r="C10" s="171">
        <v>0.136440663161021</v>
      </c>
      <c r="D10" s="171">
        <v>0.156368473561689</v>
      </c>
      <c r="E10" s="171">
        <v>0.148534635879218</v>
      </c>
      <c r="F10" s="171">
        <v>0.14087230902336</v>
      </c>
      <c r="G10" s="231">
        <v>0.133969298913982</v>
      </c>
      <c r="H10" s="560">
        <v>0.100707698644985</v>
      </c>
      <c r="I10" s="709"/>
      <c r="J10" s="708"/>
      <c r="K10" s="708"/>
      <c r="L10" s="708"/>
      <c r="M10" s="84"/>
      <c r="N10" s="84"/>
      <c r="O10" s="84"/>
    </row>
    <row r="11" spans="1:15" ht="7.5" customHeight="1">
      <c r="A11" s="170" t="s">
        <v>169</v>
      </c>
      <c r="B11" s="124">
        <v>0.0243393700232542</v>
      </c>
      <c r="C11" s="124">
        <v>0.0281309681526471</v>
      </c>
      <c r="D11" s="124">
        <v>0.0446728602490611</v>
      </c>
      <c r="E11" s="124">
        <v>0.0391853428026639</v>
      </c>
      <c r="F11" s="124">
        <v>0.0429673885984566</v>
      </c>
      <c r="G11" s="215">
        <v>0.031522254083032</v>
      </c>
      <c r="H11" s="124">
        <v>0.0318601526411572</v>
      </c>
      <c r="I11" s="709"/>
      <c r="J11" s="708"/>
      <c r="K11" s="708"/>
      <c r="L11" s="708"/>
      <c r="M11" s="84"/>
      <c r="N11" s="84"/>
      <c r="O11" s="84"/>
    </row>
    <row r="12" spans="1:15" ht="7.5" customHeight="1">
      <c r="A12" s="153" t="s">
        <v>639</v>
      </c>
      <c r="B12" s="601">
        <f>10000*B6/'page 5 Démo'!B10</f>
        <v>567.1078955385722</v>
      </c>
      <c r="C12" s="601">
        <f>10000*C6/'page 5 Démo'!C10</f>
        <v>748.0409228065294</v>
      </c>
      <c r="D12" s="601">
        <f>10000*D6/'page 5 Démo'!D10</f>
        <v>504.2923623890778</v>
      </c>
      <c r="E12" s="601">
        <f>10000*E6/'page 5 Démo'!E10</f>
        <v>649.6313535426898</v>
      </c>
      <c r="F12" s="601">
        <f>10000*F6/'page 5 Démo'!F10</f>
        <v>315.6690705687065</v>
      </c>
      <c r="G12" s="602">
        <f>10000*G6/'page 5 Démo'!G10</f>
        <v>569.8101367468298</v>
      </c>
      <c r="H12" s="601">
        <f>10000*H6/'page 5 Démo'!H10</f>
        <v>713.5159633246228</v>
      </c>
      <c r="I12" s="398"/>
      <c r="J12" s="206"/>
      <c r="K12" s="303"/>
      <c r="L12" s="303"/>
      <c r="M12" s="84"/>
      <c r="N12" s="84"/>
      <c r="O12" s="84"/>
    </row>
    <row r="13" spans="1:15" ht="7.5" customHeight="1">
      <c r="A13" s="88"/>
      <c r="B13" s="89"/>
      <c r="C13" s="89"/>
      <c r="D13" s="89"/>
      <c r="E13" s="89"/>
      <c r="F13" s="89"/>
      <c r="G13" s="90"/>
      <c r="H13" s="91"/>
      <c r="I13" s="206"/>
      <c r="J13" s="206"/>
      <c r="K13" s="303"/>
      <c r="L13" s="303"/>
      <c r="M13" s="84"/>
      <c r="N13" s="84"/>
      <c r="O13" s="84"/>
    </row>
    <row r="14" spans="1:16" ht="7.5" customHeight="1">
      <c r="A14" s="830" t="s">
        <v>245</v>
      </c>
      <c r="B14" s="888">
        <f aca="true" t="shared" si="0" ref="B14:H14">SUM(B15:B16)</f>
        <v>2718</v>
      </c>
      <c r="C14" s="888">
        <f t="shared" si="0"/>
        <v>1156</v>
      </c>
      <c r="D14" s="888">
        <f t="shared" si="0"/>
        <v>178</v>
      </c>
      <c r="E14" s="888">
        <f t="shared" si="0"/>
        <v>379</v>
      </c>
      <c r="F14" s="888">
        <f t="shared" si="0"/>
        <v>749</v>
      </c>
      <c r="G14" s="888">
        <f t="shared" si="0"/>
        <v>5180</v>
      </c>
      <c r="H14" s="889">
        <f t="shared" si="0"/>
        <v>72345</v>
      </c>
      <c r="I14" s="398"/>
      <c r="J14" s="710"/>
      <c r="K14" s="710"/>
      <c r="L14" s="710"/>
      <c r="M14" s="710"/>
      <c r="N14" s="710"/>
      <c r="O14" s="209"/>
      <c r="P14" s="711"/>
    </row>
    <row r="15" spans="1:16" ht="7.5" customHeight="1">
      <c r="A15" s="57" t="s">
        <v>242</v>
      </c>
      <c r="B15" s="675">
        <v>926</v>
      </c>
      <c r="C15" s="675">
        <v>438</v>
      </c>
      <c r="D15" s="675">
        <v>58</v>
      </c>
      <c r="E15" s="675">
        <v>123</v>
      </c>
      <c r="F15" s="675">
        <v>152</v>
      </c>
      <c r="G15" s="674">
        <f>SUM(B15:F15)</f>
        <v>1697</v>
      </c>
      <c r="H15" s="676">
        <v>23524</v>
      </c>
      <c r="I15" s="398"/>
      <c r="J15" s="710"/>
      <c r="K15" s="710"/>
      <c r="L15" s="710"/>
      <c r="M15" s="710"/>
      <c r="N15" s="710"/>
      <c r="O15" s="209"/>
      <c r="P15" s="711"/>
    </row>
    <row r="16" spans="1:15" ht="7.5" customHeight="1">
      <c r="A16" s="72" t="s">
        <v>243</v>
      </c>
      <c r="B16" s="675">
        <v>1792</v>
      </c>
      <c r="C16" s="675">
        <v>718</v>
      </c>
      <c r="D16" s="675">
        <v>120</v>
      </c>
      <c r="E16" s="675">
        <v>256</v>
      </c>
      <c r="F16" s="675">
        <v>597</v>
      </c>
      <c r="G16" s="674">
        <f>SUM(B16:F16)</f>
        <v>3483</v>
      </c>
      <c r="H16" s="676">
        <v>48821</v>
      </c>
      <c r="I16" s="398"/>
      <c r="J16" s="383"/>
      <c r="K16" s="383"/>
      <c r="L16" s="303"/>
      <c r="M16" s="84"/>
      <c r="N16" s="84"/>
      <c r="O16" s="84"/>
    </row>
    <row r="17" spans="1:15" ht="7.5" customHeight="1">
      <c r="A17" s="172"/>
      <c r="B17" s="677"/>
      <c r="C17" s="678"/>
      <c r="D17" s="677"/>
      <c r="E17" s="678"/>
      <c r="F17" s="677"/>
      <c r="G17" s="679"/>
      <c r="H17" s="676"/>
      <c r="I17" s="398"/>
      <c r="J17" s="383"/>
      <c r="K17" s="383"/>
      <c r="L17" s="206"/>
      <c r="M17" s="84"/>
      <c r="N17" s="84"/>
      <c r="O17" s="84"/>
    </row>
    <row r="18" spans="1:15" ht="7.5" customHeight="1">
      <c r="A18" s="830" t="s">
        <v>244</v>
      </c>
      <c r="B18" s="890"/>
      <c r="C18" s="891"/>
      <c r="D18" s="890"/>
      <c r="E18" s="891"/>
      <c r="F18" s="890"/>
      <c r="G18" s="892"/>
      <c r="H18" s="893"/>
      <c r="I18" s="206"/>
      <c r="J18" s="383"/>
      <c r="K18" s="383"/>
      <c r="L18" s="303"/>
      <c r="M18" s="84"/>
      <c r="N18" s="84"/>
      <c r="O18" s="84"/>
    </row>
    <row r="19" spans="1:15" ht="7.5" customHeight="1">
      <c r="A19" s="53" t="s">
        <v>866</v>
      </c>
      <c r="B19" s="675">
        <v>1139</v>
      </c>
      <c r="C19" s="675">
        <v>278</v>
      </c>
      <c r="D19" s="675">
        <v>99</v>
      </c>
      <c r="E19" s="675">
        <v>22</v>
      </c>
      <c r="F19" s="675">
        <v>341</v>
      </c>
      <c r="G19" s="674">
        <f>SUM(B19:F19)</f>
        <v>1879</v>
      </c>
      <c r="H19" s="675">
        <v>30456</v>
      </c>
      <c r="I19" s="398"/>
      <c r="J19" s="383"/>
      <c r="K19" s="383"/>
      <c r="L19" s="303"/>
      <c r="M19" s="84"/>
      <c r="N19" s="84"/>
      <c r="O19" s="84"/>
    </row>
    <row r="20" spans="1:15" ht="7.5" customHeight="1" thickBot="1">
      <c r="A20" s="837"/>
      <c r="B20" s="807"/>
      <c r="C20" s="807"/>
      <c r="D20" s="807"/>
      <c r="E20" s="807"/>
      <c r="F20" s="807"/>
      <c r="G20" s="807"/>
      <c r="H20" s="807"/>
      <c r="I20" s="206"/>
      <c r="J20" s="206"/>
      <c r="K20" s="303"/>
      <c r="L20" s="303"/>
      <c r="M20" s="84"/>
      <c r="N20" s="84"/>
      <c r="O20" s="84"/>
    </row>
    <row r="21" spans="1:15" ht="7.5" customHeight="1">
      <c r="A21" s="15" t="s">
        <v>674</v>
      </c>
      <c r="B21" s="175"/>
      <c r="C21" s="175"/>
      <c r="D21" s="175"/>
      <c r="E21" s="175"/>
      <c r="F21" s="175"/>
      <c r="G21" s="175"/>
      <c r="H21" s="175"/>
      <c r="I21" s="288"/>
      <c r="J21" s="206"/>
      <c r="K21" s="303"/>
      <c r="L21" s="303"/>
      <c r="M21" s="84"/>
      <c r="N21" s="84"/>
      <c r="O21" s="84"/>
    </row>
    <row r="22" spans="1:15" ht="7.5" customHeight="1">
      <c r="A22" s="325" t="s">
        <v>294</v>
      </c>
      <c r="B22" s="175"/>
      <c r="E22" s="175"/>
      <c r="F22" s="175"/>
      <c r="G22" s="175"/>
      <c r="H22" s="175"/>
      <c r="I22" s="206"/>
      <c r="J22" s="206"/>
      <c r="K22" s="303"/>
      <c r="L22" s="303"/>
      <c r="M22" s="84"/>
      <c r="N22" s="84"/>
      <c r="O22" s="84"/>
    </row>
    <row r="23" spans="1:15" ht="7.5" customHeight="1">
      <c r="A23" s="325" t="s">
        <v>295</v>
      </c>
      <c r="B23" s="25"/>
      <c r="C23" s="25"/>
      <c r="D23" s="25"/>
      <c r="E23" s="25"/>
      <c r="F23" s="25"/>
      <c r="G23" s="25"/>
      <c r="H23" s="31"/>
      <c r="I23" s="206"/>
      <c r="J23" s="206"/>
      <c r="K23" s="303"/>
      <c r="L23" s="303"/>
      <c r="M23" s="84"/>
      <c r="N23" s="84"/>
      <c r="O23" s="84"/>
    </row>
    <row r="24" spans="1:15" ht="7.5" customHeight="1">
      <c r="A24" s="325" t="s">
        <v>296</v>
      </c>
      <c r="I24" s="206"/>
      <c r="J24" s="206"/>
      <c r="K24" s="303"/>
      <c r="L24" s="303"/>
      <c r="M24" s="84"/>
      <c r="N24" s="84"/>
      <c r="O24" s="84"/>
    </row>
    <row r="25" spans="1:15" ht="7.5" customHeight="1">
      <c r="A25" s="600" t="s">
        <v>638</v>
      </c>
      <c r="B25" s="84"/>
      <c r="D25" s="303"/>
      <c r="E25" s="206"/>
      <c r="F25" s="206"/>
      <c r="I25" s="206"/>
      <c r="J25" s="206"/>
      <c r="K25" s="303"/>
      <c r="L25" s="303"/>
      <c r="M25" s="84"/>
      <c r="N25" s="84"/>
      <c r="O25" s="84"/>
    </row>
    <row r="26" spans="1:15" ht="7.5" customHeight="1">
      <c r="A26" s="146"/>
      <c r="G26" s="57"/>
      <c r="I26" s="206"/>
      <c r="J26" s="206"/>
      <c r="K26" s="303"/>
      <c r="L26" s="303"/>
      <c r="M26" s="84"/>
      <c r="N26" s="84"/>
      <c r="O26" s="84"/>
    </row>
  </sheetData>
  <sheetProtection/>
  <mergeCells count="2">
    <mergeCell ref="A1:H1"/>
    <mergeCell ref="A2:H2"/>
  </mergeCells>
  <printOptions/>
  <pageMargins left="0.5905511811023623" right="0.5905511811023623" top="0.7874015748031497" bottom="0.7874015748031497" header="0.31496062992125984" footer="0.31496062992125984"/>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K34"/>
  <sheetViews>
    <sheetView zoomScale="140" zoomScaleNormal="140" zoomScalePageLayoutView="0" workbookViewId="0" topLeftCell="A1">
      <selection activeCell="B10" sqref="B10"/>
    </sheetView>
  </sheetViews>
  <sheetFormatPr defaultColWidth="11.421875" defaultRowHeight="9.75" customHeight="1"/>
  <cols>
    <col min="1" max="1" width="27.57421875" style="72" customWidth="1"/>
    <col min="2" max="6" width="6.7109375" style="72" customWidth="1"/>
    <col min="7" max="7" width="6.8515625" style="72" customWidth="1"/>
    <col min="8" max="8" width="8.7109375" style="73" customWidth="1"/>
    <col min="9" max="10" width="7.7109375" style="282" customWidth="1"/>
    <col min="11" max="11" width="21.421875" style="300" customWidth="1"/>
    <col min="12" max="12" width="11.421875" style="300" customWidth="1"/>
    <col min="13" max="16384" width="11.421875" style="72" customWidth="1"/>
  </cols>
  <sheetData>
    <row r="1" spans="1:11" ht="15" customHeight="1">
      <c r="A1" s="1000" t="s">
        <v>601</v>
      </c>
      <c r="B1" s="1000"/>
      <c r="C1" s="1000"/>
      <c r="D1" s="1000"/>
      <c r="E1" s="1000"/>
      <c r="F1" s="1000"/>
      <c r="G1" s="1000"/>
      <c r="H1" s="176"/>
      <c r="I1" s="206"/>
      <c r="J1" s="206"/>
      <c r="K1" s="303"/>
    </row>
    <row r="2" spans="1:11" ht="9.75" customHeight="1">
      <c r="A2" s="1002" t="s">
        <v>933</v>
      </c>
      <c r="B2" s="1002"/>
      <c r="C2" s="1002"/>
      <c r="D2" s="1002"/>
      <c r="E2" s="1002"/>
      <c r="F2" s="1002"/>
      <c r="G2" s="1002"/>
      <c r="H2" s="736"/>
      <c r="I2" s="692"/>
      <c r="J2" s="206"/>
      <c r="K2" s="303"/>
    </row>
    <row r="3" spans="1:11" ht="7.5" customHeight="1">
      <c r="A3" s="75"/>
      <c r="B3" s="76"/>
      <c r="H3" s="85"/>
      <c r="I3" s="206"/>
      <c r="J3" s="206"/>
      <c r="K3" s="303"/>
    </row>
    <row r="4" spans="1:11" ht="19.5" customHeight="1">
      <c r="A4" s="77"/>
      <c r="B4" s="26" t="s">
        <v>521</v>
      </c>
      <c r="C4" s="26" t="s">
        <v>531</v>
      </c>
      <c r="D4" s="26" t="s">
        <v>523</v>
      </c>
      <c r="E4" s="26" t="s">
        <v>524</v>
      </c>
      <c r="F4" s="26" t="s">
        <v>525</v>
      </c>
      <c r="G4" s="27" t="s">
        <v>532</v>
      </c>
      <c r="H4" s="712"/>
      <c r="I4" s="206"/>
      <c r="J4" s="206"/>
      <c r="K4" s="303"/>
    </row>
    <row r="5" spans="1:11" ht="7.5" customHeight="1">
      <c r="A5" s="97"/>
      <c r="B5" s="93"/>
      <c r="C5" s="93"/>
      <c r="D5" s="93"/>
      <c r="E5" s="93"/>
      <c r="F5" s="93"/>
      <c r="G5" s="93"/>
      <c r="H5" s="93"/>
      <c r="I5" s="206"/>
      <c r="J5" s="206"/>
      <c r="K5" s="303"/>
    </row>
    <row r="6" spans="1:11" ht="7.5" customHeight="1">
      <c r="A6" s="894" t="s">
        <v>775</v>
      </c>
      <c r="B6" s="895">
        <v>38730</v>
      </c>
      <c r="C6" s="895">
        <v>19160</v>
      </c>
      <c r="D6" s="895">
        <v>3790</v>
      </c>
      <c r="E6" s="895">
        <v>9780</v>
      </c>
      <c r="F6" s="895">
        <v>9860</v>
      </c>
      <c r="G6" s="895">
        <v>81320</v>
      </c>
      <c r="H6" s="398"/>
      <c r="I6" s="206"/>
      <c r="J6" s="206"/>
      <c r="K6" s="303"/>
    </row>
    <row r="7" spans="1:11" ht="7.5" customHeight="1">
      <c r="A7" s="24" t="s">
        <v>611</v>
      </c>
      <c r="B7" s="179">
        <v>24740</v>
      </c>
      <c r="C7" s="179">
        <v>11320</v>
      </c>
      <c r="D7" s="179">
        <v>2340</v>
      </c>
      <c r="E7" s="179">
        <v>5570</v>
      </c>
      <c r="F7" s="179">
        <v>7230</v>
      </c>
      <c r="G7" s="603">
        <v>51200</v>
      </c>
      <c r="H7" s="398"/>
      <c r="I7" s="206"/>
      <c r="J7" s="206"/>
      <c r="K7" s="303"/>
    </row>
    <row r="8" spans="1:11" ht="7.5" customHeight="1">
      <c r="A8" s="24" t="s">
        <v>612</v>
      </c>
      <c r="B8" s="179">
        <v>13990</v>
      </c>
      <c r="C8" s="179">
        <v>7840</v>
      </c>
      <c r="D8" s="179">
        <v>1450</v>
      </c>
      <c r="E8" s="179">
        <v>4210</v>
      </c>
      <c r="F8" s="179">
        <v>2630</v>
      </c>
      <c r="G8" s="603">
        <v>30120</v>
      </c>
      <c r="H8" s="398"/>
      <c r="I8" s="206"/>
      <c r="J8" s="206"/>
      <c r="K8" s="303"/>
    </row>
    <row r="9" spans="1:11" ht="7.5" customHeight="1">
      <c r="A9" s="58" t="s">
        <v>606</v>
      </c>
      <c r="B9" s="178">
        <v>0.36121869351923575</v>
      </c>
      <c r="C9" s="178">
        <v>0.4091858037578288</v>
      </c>
      <c r="D9" s="178">
        <v>0.38258575197889183</v>
      </c>
      <c r="E9" s="178">
        <v>0.43047034764826175</v>
      </c>
      <c r="F9" s="178">
        <v>0.2667342799188641</v>
      </c>
      <c r="G9" s="134">
        <v>0.3703885882931628</v>
      </c>
      <c r="H9" s="398"/>
      <c r="I9" s="206"/>
      <c r="J9" s="206"/>
      <c r="K9" s="303"/>
    </row>
    <row r="10" spans="1:11" ht="7.5" customHeight="1">
      <c r="A10" s="163"/>
      <c r="B10" s="178"/>
      <c r="C10" s="178"/>
      <c r="D10" s="178"/>
      <c r="E10" s="178"/>
      <c r="F10" s="178"/>
      <c r="G10" s="134"/>
      <c r="H10" s="398"/>
      <c r="I10" s="206"/>
      <c r="J10" s="206"/>
      <c r="K10" s="303"/>
    </row>
    <row r="11" spans="1:11" ht="7.5" customHeight="1">
      <c r="A11" s="896" t="s">
        <v>776</v>
      </c>
      <c r="B11" s="897">
        <v>9518</v>
      </c>
      <c r="C11" s="897">
        <v>9274</v>
      </c>
      <c r="D11" s="897">
        <v>2324</v>
      </c>
      <c r="E11" s="897">
        <v>5495</v>
      </c>
      <c r="F11" s="897">
        <v>3388</v>
      </c>
      <c r="G11" s="897">
        <v>29999</v>
      </c>
      <c r="H11" s="398"/>
      <c r="I11" s="206"/>
      <c r="J11" s="206"/>
      <c r="K11" s="303"/>
    </row>
    <row r="12" spans="1:11" ht="7.5" customHeight="1">
      <c r="A12" s="21" t="s">
        <v>607</v>
      </c>
      <c r="B12" s="164">
        <v>6941</v>
      </c>
      <c r="C12" s="164">
        <v>6243</v>
      </c>
      <c r="D12" s="164">
        <v>1746</v>
      </c>
      <c r="E12" s="164">
        <v>3854</v>
      </c>
      <c r="F12" s="164">
        <v>2651</v>
      </c>
      <c r="G12" s="165">
        <v>21435</v>
      </c>
      <c r="H12" s="398"/>
      <c r="I12" s="206"/>
      <c r="J12" s="206"/>
      <c r="K12" s="303"/>
    </row>
    <row r="13" spans="1:11" ht="7.5" customHeight="1">
      <c r="A13" s="21" t="s">
        <v>602</v>
      </c>
      <c r="B13" s="164">
        <v>2577</v>
      </c>
      <c r="C13" s="164">
        <v>3031</v>
      </c>
      <c r="D13" s="164">
        <v>578</v>
      </c>
      <c r="E13" s="164">
        <v>1641</v>
      </c>
      <c r="F13" s="164">
        <v>737</v>
      </c>
      <c r="G13" s="165">
        <v>8564</v>
      </c>
      <c r="H13" s="398"/>
      <c r="I13" s="206"/>
      <c r="J13" s="206"/>
      <c r="K13" s="303"/>
    </row>
    <row r="14" spans="1:11" ht="7.5" customHeight="1">
      <c r="A14" s="145" t="s">
        <v>606</v>
      </c>
      <c r="B14" s="180">
        <f aca="true" t="shared" si="0" ref="B14:G14">B13/B11</f>
        <v>0.27075015759613363</v>
      </c>
      <c r="C14" s="180">
        <f t="shared" si="0"/>
        <v>0.3268276903170153</v>
      </c>
      <c r="D14" s="180">
        <f t="shared" si="0"/>
        <v>0.2487091222030981</v>
      </c>
      <c r="E14" s="180">
        <f t="shared" si="0"/>
        <v>0.2986351228389445</v>
      </c>
      <c r="F14" s="180">
        <f t="shared" si="0"/>
        <v>0.21753246753246752</v>
      </c>
      <c r="G14" s="181">
        <f t="shared" si="0"/>
        <v>0.285476182539418</v>
      </c>
      <c r="H14" s="398"/>
      <c r="I14" s="206"/>
      <c r="J14" s="206"/>
      <c r="K14" s="303"/>
    </row>
    <row r="15" spans="1:11" ht="7.5" customHeight="1">
      <c r="A15" s="177"/>
      <c r="B15" s="165"/>
      <c r="C15" s="165"/>
      <c r="D15" s="165"/>
      <c r="E15" s="165"/>
      <c r="F15" s="165"/>
      <c r="G15" s="165"/>
      <c r="H15" s="398"/>
      <c r="I15" s="206"/>
      <c r="J15" s="206"/>
      <c r="K15" s="303"/>
    </row>
    <row r="16" spans="1:11" ht="7.5" customHeight="1">
      <c r="A16" s="898" t="s">
        <v>237</v>
      </c>
      <c r="B16" s="899">
        <f aca="true" t="shared" si="1" ref="B16:G18">B11/B6</f>
        <v>0.24575264652723985</v>
      </c>
      <c r="C16" s="899">
        <f t="shared" si="1"/>
        <v>0.4840292275574113</v>
      </c>
      <c r="D16" s="899">
        <f t="shared" si="1"/>
        <v>0.6131926121372032</v>
      </c>
      <c r="E16" s="899">
        <f t="shared" si="1"/>
        <v>0.5618609406952966</v>
      </c>
      <c r="F16" s="899">
        <f t="shared" si="1"/>
        <v>0.3436105476673428</v>
      </c>
      <c r="G16" s="899">
        <f t="shared" si="1"/>
        <v>0.36890063944909</v>
      </c>
      <c r="H16" s="398"/>
      <c r="I16" s="206"/>
      <c r="J16" s="206"/>
      <c r="K16" s="303"/>
    </row>
    <row r="17" spans="1:11" ht="7.5" customHeight="1">
      <c r="A17" s="21" t="s">
        <v>607</v>
      </c>
      <c r="B17" s="180">
        <f>B12/B7</f>
        <v>0.2805578011317704</v>
      </c>
      <c r="C17" s="180">
        <f t="shared" si="1"/>
        <v>0.5515017667844523</v>
      </c>
      <c r="D17" s="180">
        <f t="shared" si="1"/>
        <v>0.7461538461538462</v>
      </c>
      <c r="E17" s="180">
        <f t="shared" si="1"/>
        <v>0.6919210053859964</v>
      </c>
      <c r="F17" s="180">
        <f t="shared" si="1"/>
        <v>0.36666666666666664</v>
      </c>
      <c r="G17" s="181">
        <f t="shared" si="1"/>
        <v>0.41865234375</v>
      </c>
      <c r="H17" s="398"/>
      <c r="I17" s="206"/>
      <c r="J17" s="206"/>
      <c r="K17" s="303"/>
    </row>
    <row r="18" spans="1:11" ht="7.5" customHeight="1">
      <c r="A18" s="21" t="s">
        <v>602</v>
      </c>
      <c r="B18" s="180">
        <f>B13/B8</f>
        <v>0.18420300214438884</v>
      </c>
      <c r="C18" s="180">
        <f t="shared" si="1"/>
        <v>0.38660714285714287</v>
      </c>
      <c r="D18" s="180">
        <f t="shared" si="1"/>
        <v>0.3986206896551724</v>
      </c>
      <c r="E18" s="180">
        <f t="shared" si="1"/>
        <v>0.38978622327790974</v>
      </c>
      <c r="F18" s="180">
        <f t="shared" si="1"/>
        <v>0.2802281368821293</v>
      </c>
      <c r="G18" s="181">
        <f t="shared" si="1"/>
        <v>0.2843293492695883</v>
      </c>
      <c r="H18" s="398"/>
      <c r="I18" s="206"/>
      <c r="J18" s="206"/>
      <c r="K18" s="303"/>
    </row>
    <row r="19" spans="1:11" ht="7.5" customHeight="1">
      <c r="A19" s="145"/>
      <c r="B19" s="182"/>
      <c r="C19" s="182"/>
      <c r="D19" s="182"/>
      <c r="E19" s="182"/>
      <c r="F19" s="182"/>
      <c r="G19" s="182"/>
      <c r="H19" s="92"/>
      <c r="I19" s="206"/>
      <c r="J19" s="206"/>
      <c r="K19" s="303"/>
    </row>
    <row r="20" spans="1:11" ht="7.5" customHeight="1">
      <c r="A20" s="898" t="s">
        <v>777</v>
      </c>
      <c r="B20" s="900">
        <v>16.2</v>
      </c>
      <c r="C20" s="900">
        <v>9.6</v>
      </c>
      <c r="D20" s="900">
        <v>5.2</v>
      </c>
      <c r="E20" s="900">
        <v>7.1</v>
      </c>
      <c r="F20" s="900">
        <v>9.2</v>
      </c>
      <c r="G20" s="900">
        <v>11</v>
      </c>
      <c r="H20" s="398"/>
      <c r="I20" s="206"/>
      <c r="J20" s="206"/>
      <c r="K20" s="303"/>
    </row>
    <row r="21" spans="1:11" ht="7.5" customHeight="1">
      <c r="A21" s="21" t="s">
        <v>607</v>
      </c>
      <c r="B21" s="219">
        <v>13.8</v>
      </c>
      <c r="C21" s="219">
        <v>7.8</v>
      </c>
      <c r="D21" s="219">
        <v>4.3</v>
      </c>
      <c r="E21" s="219">
        <v>5.4</v>
      </c>
      <c r="F21" s="219">
        <v>8.7</v>
      </c>
      <c r="G21" s="220">
        <v>9.3</v>
      </c>
      <c r="H21" s="398"/>
      <c r="I21" s="206"/>
      <c r="J21" s="206"/>
      <c r="K21" s="303"/>
    </row>
    <row r="22" spans="1:11" ht="7.5" customHeight="1">
      <c r="A22" s="21" t="s">
        <v>602</v>
      </c>
      <c r="B22" s="219">
        <v>22.7</v>
      </c>
      <c r="C22" s="219">
        <v>13.1</v>
      </c>
      <c r="D22" s="219">
        <v>8</v>
      </c>
      <c r="E22" s="219">
        <v>10.9</v>
      </c>
      <c r="F22" s="219">
        <v>11.1</v>
      </c>
      <c r="G22" s="220">
        <v>15.1</v>
      </c>
      <c r="H22" s="398"/>
      <c r="I22" s="288"/>
      <c r="J22" s="206"/>
      <c r="K22" s="303"/>
    </row>
    <row r="23" spans="1:11" ht="7.5" customHeight="1" thickBot="1">
      <c r="A23" s="837"/>
      <c r="B23" s="837"/>
      <c r="C23" s="837"/>
      <c r="D23" s="837"/>
      <c r="E23" s="837"/>
      <c r="F23" s="837"/>
      <c r="G23" s="837"/>
      <c r="H23" s="93"/>
      <c r="I23" s="206"/>
      <c r="J23" s="206"/>
      <c r="K23" s="303"/>
    </row>
    <row r="24" spans="1:11" ht="7.5" customHeight="1">
      <c r="A24" s="80" t="s">
        <v>621</v>
      </c>
      <c r="B24" s="25"/>
      <c r="C24" s="25"/>
      <c r="D24" s="25"/>
      <c r="E24" s="25"/>
      <c r="F24" s="25"/>
      <c r="G24" s="25"/>
      <c r="H24" s="106"/>
      <c r="I24" s="206"/>
      <c r="J24" s="206"/>
      <c r="K24" s="303"/>
    </row>
    <row r="25" spans="1:11" ht="7.5" customHeight="1">
      <c r="A25" s="325" t="s">
        <v>61</v>
      </c>
      <c r="H25" s="85"/>
      <c r="I25" s="206"/>
      <c r="J25" s="206"/>
      <c r="K25" s="303"/>
    </row>
    <row r="26" spans="1:9" ht="7.5" customHeight="1">
      <c r="A26" s="325" t="s">
        <v>62</v>
      </c>
      <c r="I26" s="206"/>
    </row>
    <row r="27" spans="1:9" ht="7.5" customHeight="1">
      <c r="A27" s="325" t="s">
        <v>675</v>
      </c>
      <c r="I27" s="206"/>
    </row>
    <row r="28" ht="7.5" customHeight="1"/>
    <row r="29" ht="7.5" customHeight="1"/>
    <row r="30" ht="7.5" customHeight="1"/>
    <row r="34" ht="9.75" customHeight="1">
      <c r="G34" s="285"/>
    </row>
  </sheetData>
  <sheetProtection/>
  <mergeCells count="2">
    <mergeCell ref="A1:G1"/>
    <mergeCell ref="A2:G2"/>
  </mergeCells>
  <printOptions/>
  <pageMargins left="0.5905511811023623" right="0.5905511811023623" top="0.7874015748031497" bottom="0.7874015748031497" header="0.31496062992125984" footer="0.31496062992125984"/>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K23"/>
  <sheetViews>
    <sheetView zoomScale="140" zoomScaleNormal="140" zoomScalePageLayoutView="0" workbookViewId="0" topLeftCell="A1">
      <selection activeCell="A1" sqref="A1:G1"/>
    </sheetView>
  </sheetViews>
  <sheetFormatPr defaultColWidth="11.421875" defaultRowHeight="9.75" customHeight="1"/>
  <cols>
    <col min="1" max="1" width="27.8515625" style="611" customWidth="1"/>
    <col min="2" max="6" width="6.7109375" style="611" customWidth="1"/>
    <col min="7" max="7" width="6.8515625" style="611" customWidth="1"/>
    <col min="8" max="9" width="7.7109375" style="632" customWidth="1"/>
    <col min="10" max="10" width="21.421875" style="610" customWidth="1"/>
    <col min="11" max="11" width="11.421875" style="610" customWidth="1"/>
    <col min="12" max="16384" width="11.421875" style="611" customWidth="1"/>
  </cols>
  <sheetData>
    <row r="1" spans="1:10" ht="15" customHeight="1">
      <c r="A1" s="1019" t="s">
        <v>608</v>
      </c>
      <c r="B1" s="1019"/>
      <c r="C1" s="1019"/>
      <c r="D1" s="1019"/>
      <c r="E1" s="1019"/>
      <c r="F1" s="1019"/>
      <c r="G1" s="1019"/>
      <c r="H1" s="608"/>
      <c r="I1" s="608"/>
      <c r="J1" s="609"/>
    </row>
    <row r="2" spans="1:10" ht="9.75" customHeight="1">
      <c r="A2" s="1020" t="s">
        <v>737</v>
      </c>
      <c r="B2" s="1020"/>
      <c r="C2" s="1020"/>
      <c r="D2" s="1020"/>
      <c r="E2" s="1020"/>
      <c r="F2" s="1020"/>
      <c r="G2" s="1020"/>
      <c r="H2" s="608"/>
      <c r="I2" s="612"/>
      <c r="J2" s="609"/>
    </row>
    <row r="3" spans="1:10" ht="7.5" customHeight="1">
      <c r="A3" s="613"/>
      <c r="B3" s="614"/>
      <c r="H3" s="608"/>
      <c r="I3" s="608"/>
      <c r="J3" s="609"/>
    </row>
    <row r="4" spans="1:10" ht="19.5" customHeight="1">
      <c r="A4" s="616"/>
      <c r="B4" s="617" t="s">
        <v>521</v>
      </c>
      <c r="C4" s="617" t="s">
        <v>531</v>
      </c>
      <c r="D4" s="617" t="s">
        <v>523</v>
      </c>
      <c r="E4" s="617" t="s">
        <v>524</v>
      </c>
      <c r="F4" s="617" t="s">
        <v>525</v>
      </c>
      <c r="G4" s="618" t="s">
        <v>532</v>
      </c>
      <c r="H4" s="608"/>
      <c r="I4" s="608"/>
      <c r="J4" s="609"/>
    </row>
    <row r="5" spans="1:10" ht="7.5" customHeight="1">
      <c r="A5" s="619"/>
      <c r="B5" s="620"/>
      <c r="C5" s="620"/>
      <c r="D5" s="620"/>
      <c r="E5" s="620"/>
      <c r="F5" s="620"/>
      <c r="G5" s="621"/>
      <c r="H5" s="608"/>
      <c r="I5" s="608"/>
      <c r="J5" s="609"/>
    </row>
    <row r="6" spans="1:10" ht="9">
      <c r="A6" s="901" t="s">
        <v>386</v>
      </c>
      <c r="B6" s="902">
        <v>894</v>
      </c>
      <c r="C6" s="903">
        <v>101</v>
      </c>
      <c r="D6" s="903">
        <v>23</v>
      </c>
      <c r="E6" s="903">
        <v>132</v>
      </c>
      <c r="F6" s="903">
        <v>315</v>
      </c>
      <c r="G6" s="903">
        <f>SUM(B6:F6)</f>
        <v>1465</v>
      </c>
      <c r="H6" s="608"/>
      <c r="I6" s="608"/>
      <c r="J6" s="609"/>
    </row>
    <row r="7" spans="1:11" s="623" customFormat="1" ht="9">
      <c r="A7" s="615" t="s">
        <v>387</v>
      </c>
      <c r="B7" s="622">
        <v>267</v>
      </c>
      <c r="C7" s="622">
        <v>16</v>
      </c>
      <c r="D7" s="622">
        <v>3</v>
      </c>
      <c r="E7" s="622">
        <v>3</v>
      </c>
      <c r="F7" s="622">
        <v>40</v>
      </c>
      <c r="G7" s="622">
        <f aca="true" t="shared" si="0" ref="G7:G12">SUM(B7:F7)</f>
        <v>329</v>
      </c>
      <c r="H7" s="608"/>
      <c r="I7" s="608"/>
      <c r="J7" s="609"/>
      <c r="K7" s="609"/>
    </row>
    <row r="8" spans="1:10" ht="9">
      <c r="A8" s="615" t="s">
        <v>388</v>
      </c>
      <c r="B8" s="624">
        <v>627</v>
      </c>
      <c r="C8" s="624">
        <v>85</v>
      </c>
      <c r="D8" s="624">
        <v>20</v>
      </c>
      <c r="E8" s="624">
        <v>129</v>
      </c>
      <c r="F8" s="624">
        <v>275</v>
      </c>
      <c r="G8" s="622">
        <f t="shared" si="0"/>
        <v>1136</v>
      </c>
      <c r="H8" s="608"/>
      <c r="I8" s="608"/>
      <c r="J8" s="609"/>
    </row>
    <row r="9" spans="1:10" ht="7.5" customHeight="1">
      <c r="A9" s="625" t="s">
        <v>389</v>
      </c>
      <c r="B9" s="626">
        <v>154</v>
      </c>
      <c r="C9" s="627">
        <v>15</v>
      </c>
      <c r="D9" s="627">
        <v>10</v>
      </c>
      <c r="E9" s="627">
        <v>70</v>
      </c>
      <c r="F9" s="627">
        <v>108</v>
      </c>
      <c r="G9" s="628">
        <f t="shared" si="0"/>
        <v>357</v>
      </c>
      <c r="H9" s="608"/>
      <c r="I9" s="608"/>
      <c r="J9" s="609"/>
    </row>
    <row r="10" spans="1:10" ht="7.5" customHeight="1">
      <c r="A10" s="625" t="s">
        <v>390</v>
      </c>
      <c r="B10" s="626">
        <v>294</v>
      </c>
      <c r="C10" s="627">
        <v>50</v>
      </c>
      <c r="D10" s="627">
        <v>9</v>
      </c>
      <c r="E10" s="627">
        <v>48</v>
      </c>
      <c r="F10" s="627">
        <v>103</v>
      </c>
      <c r="G10" s="628">
        <f t="shared" si="0"/>
        <v>504</v>
      </c>
      <c r="H10" s="608"/>
      <c r="I10" s="608"/>
      <c r="J10" s="609"/>
    </row>
    <row r="11" spans="1:10" ht="7.5" customHeight="1">
      <c r="A11" s="625" t="s">
        <v>391</v>
      </c>
      <c r="B11" s="626">
        <v>135</v>
      </c>
      <c r="C11" s="627">
        <v>15</v>
      </c>
      <c r="D11" s="627">
        <v>0</v>
      </c>
      <c r="E11" s="627">
        <v>6</v>
      </c>
      <c r="F11" s="627">
        <v>49</v>
      </c>
      <c r="G11" s="628">
        <f t="shared" si="0"/>
        <v>205</v>
      </c>
      <c r="H11" s="608"/>
      <c r="I11" s="608"/>
      <c r="J11" s="609"/>
    </row>
    <row r="12" spans="1:10" ht="7.5" customHeight="1">
      <c r="A12" s="625" t="s">
        <v>392</v>
      </c>
      <c r="B12" s="626">
        <v>44</v>
      </c>
      <c r="C12" s="627">
        <v>5</v>
      </c>
      <c r="D12" s="627">
        <v>1</v>
      </c>
      <c r="E12" s="627">
        <v>5</v>
      </c>
      <c r="F12" s="627">
        <v>15</v>
      </c>
      <c r="G12" s="628">
        <f t="shared" si="0"/>
        <v>70</v>
      </c>
      <c r="H12" s="608"/>
      <c r="I12" s="608"/>
      <c r="J12" s="609"/>
    </row>
    <row r="13" spans="1:10" ht="7.5" customHeight="1" thickBot="1">
      <c r="A13" s="904"/>
      <c r="B13" s="905"/>
      <c r="C13" s="905"/>
      <c r="D13" s="905"/>
      <c r="E13" s="905"/>
      <c r="F13" s="905"/>
      <c r="G13" s="905"/>
      <c r="H13" s="608"/>
      <c r="I13" s="608"/>
      <c r="J13" s="609"/>
    </row>
    <row r="14" spans="1:10" ht="7.5" customHeight="1">
      <c r="A14" s="629" t="s">
        <v>610</v>
      </c>
      <c r="B14" s="630"/>
      <c r="C14" s="630"/>
      <c r="D14" s="630"/>
      <c r="E14" s="630"/>
      <c r="F14" s="630"/>
      <c r="G14" s="630"/>
      <c r="H14" s="608"/>
      <c r="I14" s="608"/>
      <c r="J14" s="609"/>
    </row>
    <row r="15" spans="1:10" ht="7.5" customHeight="1">
      <c r="A15" s="631"/>
      <c r="H15" s="608"/>
      <c r="I15" s="608"/>
      <c r="J15" s="609"/>
    </row>
    <row r="23" spans="1:7" ht="9.75" customHeight="1">
      <c r="A23" s="735"/>
      <c r="B23" s="734"/>
      <c r="C23" s="734"/>
      <c r="D23" s="734"/>
      <c r="E23" s="734"/>
      <c r="F23" s="734"/>
      <c r="G23" s="734"/>
    </row>
  </sheetData>
  <sheetProtection selectLockedCells="1" selectUnlockedCells="1"/>
  <mergeCells count="2">
    <mergeCell ref="A1:G1"/>
    <mergeCell ref="A2:G2"/>
  </mergeCells>
  <printOptions/>
  <pageMargins left="0.5902777777777778" right="0.5902777777777778" top="0.7875" bottom="0.7875" header="0.5118055555555555" footer="0.5118055555555555"/>
  <pageSetup horizontalDpi="300" verticalDpi="300" orientation="landscape" paperSize="9" r:id="rId1"/>
</worksheet>
</file>

<file path=xl/worksheets/sheet28.xml><?xml version="1.0" encoding="utf-8"?>
<worksheet xmlns="http://schemas.openxmlformats.org/spreadsheetml/2006/main" xmlns:r="http://schemas.openxmlformats.org/officeDocument/2006/relationships">
  <dimension ref="A1:Z32"/>
  <sheetViews>
    <sheetView zoomScale="140" zoomScaleNormal="140" zoomScalePageLayoutView="0" workbookViewId="0" topLeftCell="A1">
      <selection activeCell="A1" sqref="A1:H1"/>
    </sheetView>
  </sheetViews>
  <sheetFormatPr defaultColWidth="11.421875" defaultRowHeight="9.75" customHeight="1"/>
  <cols>
    <col min="1" max="1" width="30.7109375" style="72" customWidth="1"/>
    <col min="2" max="6" width="6.7109375" style="72" customWidth="1"/>
    <col min="7" max="7" width="6.8515625" style="72" customWidth="1"/>
    <col min="8" max="8" width="9.7109375" style="73" customWidth="1"/>
    <col min="9" max="10" width="7.7109375" style="282" customWidth="1"/>
    <col min="11" max="11" width="21.421875" style="300" customWidth="1"/>
    <col min="12" max="12" width="11.421875" style="300" customWidth="1"/>
    <col min="13" max="16384" width="11.421875" style="72" customWidth="1"/>
  </cols>
  <sheetData>
    <row r="1" spans="1:9" ht="15" customHeight="1">
      <c r="A1" s="1000" t="s">
        <v>609</v>
      </c>
      <c r="B1" s="1000"/>
      <c r="C1" s="1000"/>
      <c r="D1" s="1000"/>
      <c r="E1" s="1000"/>
      <c r="F1" s="1000"/>
      <c r="G1" s="1000"/>
      <c r="H1" s="1000"/>
      <c r="I1" s="748"/>
    </row>
    <row r="2" spans="1:10" ht="9.75" customHeight="1">
      <c r="A2" s="1002" t="s">
        <v>738</v>
      </c>
      <c r="B2" s="1002"/>
      <c r="C2" s="1002"/>
      <c r="D2" s="1002"/>
      <c r="E2" s="1002"/>
      <c r="F2" s="1002"/>
      <c r="G2" s="1002"/>
      <c r="H2" s="1002"/>
      <c r="I2" s="206"/>
      <c r="J2" s="206"/>
    </row>
    <row r="3" spans="1:9" ht="7.5" customHeight="1">
      <c r="A3" s="75"/>
      <c r="B3" s="76"/>
      <c r="I3" s="206"/>
    </row>
    <row r="4" spans="1:9" ht="19.5" customHeight="1">
      <c r="A4" s="77"/>
      <c r="B4" s="26" t="s">
        <v>521</v>
      </c>
      <c r="C4" s="26" t="s">
        <v>531</v>
      </c>
      <c r="D4" s="26" t="s">
        <v>523</v>
      </c>
      <c r="E4" s="26" t="s">
        <v>524</v>
      </c>
      <c r="F4" s="26" t="s">
        <v>525</v>
      </c>
      <c r="G4" s="27" t="s">
        <v>532</v>
      </c>
      <c r="H4" s="107" t="s">
        <v>527</v>
      </c>
      <c r="I4" s="206"/>
    </row>
    <row r="5" spans="1:8" ht="7.5" customHeight="1">
      <c r="A5" s="830" t="s">
        <v>625</v>
      </c>
      <c r="B5" s="906"/>
      <c r="C5" s="906"/>
      <c r="D5" s="906"/>
      <c r="E5" s="906"/>
      <c r="F5" s="906"/>
      <c r="G5" s="906"/>
      <c r="H5" s="830"/>
    </row>
    <row r="6" spans="1:8" ht="7.5" customHeight="1">
      <c r="A6" s="72" t="s">
        <v>622</v>
      </c>
      <c r="B6" s="475">
        <v>372</v>
      </c>
      <c r="C6" s="475">
        <v>260</v>
      </c>
      <c r="D6" s="475">
        <v>100</v>
      </c>
      <c r="E6" s="475">
        <v>310</v>
      </c>
      <c r="F6" s="475">
        <v>131</v>
      </c>
      <c r="G6" s="604">
        <f>SUM(B6:F6)</f>
        <v>1173</v>
      </c>
      <c r="H6" s="476">
        <v>21992</v>
      </c>
    </row>
    <row r="7" spans="1:17" ht="7.5" customHeight="1">
      <c r="A7" s="72" t="s">
        <v>249</v>
      </c>
      <c r="B7" s="475">
        <v>40</v>
      </c>
      <c r="C7" s="475">
        <v>0</v>
      </c>
      <c r="D7" s="475">
        <v>0</v>
      </c>
      <c r="E7" s="475">
        <v>0</v>
      </c>
      <c r="F7" s="475">
        <v>0</v>
      </c>
      <c r="G7" s="604">
        <f>SUM(B7:F7)</f>
        <v>40</v>
      </c>
      <c r="H7" s="476">
        <v>1480</v>
      </c>
      <c r="J7" s="310"/>
      <c r="K7" s="311"/>
      <c r="L7" s="311"/>
      <c r="M7" s="99"/>
      <c r="N7" s="99"/>
      <c r="O7" s="99"/>
      <c r="P7" s="99"/>
      <c r="Q7" s="99"/>
    </row>
    <row r="8" spans="2:17" ht="7.5" customHeight="1">
      <c r="B8" s="149"/>
      <c r="C8" s="149"/>
      <c r="D8" s="149"/>
      <c r="E8" s="149"/>
      <c r="F8" s="149"/>
      <c r="G8" s="605"/>
      <c r="H8" s="183"/>
      <c r="J8" s="310"/>
      <c r="K8" s="311"/>
      <c r="L8" s="311"/>
      <c r="M8" s="99"/>
      <c r="N8" s="99"/>
      <c r="O8" s="99"/>
      <c r="P8" s="99"/>
      <c r="Q8" s="99"/>
    </row>
    <row r="9" spans="1:17" ht="7.5" customHeight="1">
      <c r="A9" s="845" t="s">
        <v>238</v>
      </c>
      <c r="B9" s="907">
        <f aca="true" t="shared" si="0" ref="B9:H9">SUM(B10:B12)</f>
        <v>734</v>
      </c>
      <c r="C9" s="907">
        <f t="shared" si="0"/>
        <v>327</v>
      </c>
      <c r="D9" s="907">
        <f t="shared" si="0"/>
        <v>118</v>
      </c>
      <c r="E9" s="907">
        <f t="shared" si="0"/>
        <v>299</v>
      </c>
      <c r="F9" s="907">
        <f t="shared" si="0"/>
        <v>200</v>
      </c>
      <c r="G9" s="907">
        <f t="shared" si="0"/>
        <v>1678</v>
      </c>
      <c r="H9" s="907">
        <f t="shared" si="0"/>
        <v>38470</v>
      </c>
      <c r="J9" s="310"/>
      <c r="K9" s="311"/>
      <c r="L9" s="311"/>
      <c r="M9" s="99"/>
      <c r="N9" s="99"/>
      <c r="O9" s="99"/>
      <c r="P9" s="99"/>
      <c r="Q9" s="99"/>
    </row>
    <row r="10" spans="1:17" ht="7.5" customHeight="1">
      <c r="A10" s="213" t="s">
        <v>640</v>
      </c>
      <c r="B10" s="108">
        <v>72</v>
      </c>
      <c r="C10" s="108">
        <v>53</v>
      </c>
      <c r="D10" s="108">
        <v>10</v>
      </c>
      <c r="E10" s="108">
        <v>9</v>
      </c>
      <c r="F10" s="108">
        <v>28</v>
      </c>
      <c r="G10" s="168">
        <f>SUM(B10:F10)</f>
        <v>172</v>
      </c>
      <c r="H10" s="218">
        <v>4596</v>
      </c>
      <c r="J10" s="310"/>
      <c r="K10" s="311"/>
      <c r="L10" s="311"/>
      <c r="M10" s="99"/>
      <c r="N10" s="99"/>
      <c r="O10" s="99"/>
      <c r="P10" s="99"/>
      <c r="Q10" s="99"/>
    </row>
    <row r="11" spans="1:17" ht="7.5" customHeight="1">
      <c r="A11" s="213" t="s">
        <v>641</v>
      </c>
      <c r="B11" s="108">
        <v>31</v>
      </c>
      <c r="C11" s="108">
        <v>42</v>
      </c>
      <c r="D11" s="108">
        <v>18</v>
      </c>
      <c r="E11" s="108">
        <v>104</v>
      </c>
      <c r="F11" s="108">
        <v>32</v>
      </c>
      <c r="G11" s="168">
        <f>SUM(B11:F11)</f>
        <v>227</v>
      </c>
      <c r="H11" s="218">
        <v>3847</v>
      </c>
      <c r="J11" s="298"/>
      <c r="K11" s="308"/>
      <c r="L11" s="308"/>
      <c r="M11" s="103"/>
      <c r="N11" s="103"/>
      <c r="O11" s="86"/>
      <c r="P11" s="86"/>
      <c r="Q11" s="86"/>
    </row>
    <row r="12" spans="1:17" ht="7.5" customHeight="1">
      <c r="A12" s="213" t="s">
        <v>642</v>
      </c>
      <c r="B12" s="108">
        <v>631</v>
      </c>
      <c r="C12" s="108">
        <v>232</v>
      </c>
      <c r="D12" s="108">
        <v>90</v>
      </c>
      <c r="E12" s="108">
        <v>186</v>
      </c>
      <c r="F12" s="108">
        <v>140</v>
      </c>
      <c r="G12" s="168">
        <f>SUM(B12:F12)</f>
        <v>1279</v>
      </c>
      <c r="H12" s="218">
        <v>30027</v>
      </c>
      <c r="J12" s="298"/>
      <c r="K12" s="308"/>
      <c r="L12" s="308"/>
      <c r="M12" s="103"/>
      <c r="N12" s="103"/>
      <c r="O12" s="86"/>
      <c r="P12" s="86"/>
      <c r="Q12" s="86"/>
    </row>
    <row r="13" spans="1:17" ht="7.5" customHeight="1">
      <c r="A13" s="214" t="s">
        <v>781</v>
      </c>
      <c r="B13" s="387">
        <v>0.27</v>
      </c>
      <c r="C13" s="387">
        <v>0.19</v>
      </c>
      <c r="D13" s="387">
        <v>0.17</v>
      </c>
      <c r="E13" s="387">
        <v>0.3212</v>
      </c>
      <c r="F13" s="387">
        <v>0.21</v>
      </c>
      <c r="G13" s="606">
        <v>0.26</v>
      </c>
      <c r="H13" s="684" t="s">
        <v>324</v>
      </c>
      <c r="I13" s="206"/>
      <c r="J13" s="298"/>
      <c r="K13" s="308"/>
      <c r="L13" s="308"/>
      <c r="M13" s="103"/>
      <c r="N13" s="103"/>
      <c r="O13" s="86"/>
      <c r="P13" s="86"/>
      <c r="Q13" s="86"/>
    </row>
    <row r="14" spans="1:17" ht="7.5" customHeight="1">
      <c r="A14" s="214" t="s">
        <v>782</v>
      </c>
      <c r="B14" s="387">
        <v>0.3859</v>
      </c>
      <c r="C14" s="387">
        <v>0.33</v>
      </c>
      <c r="D14" s="389">
        <v>0.28</v>
      </c>
      <c r="E14" s="387">
        <v>0.2008</v>
      </c>
      <c r="F14" s="387">
        <v>0.38</v>
      </c>
      <c r="G14" s="606">
        <v>0.29</v>
      </c>
      <c r="H14" s="684" t="s">
        <v>324</v>
      </c>
      <c r="I14" s="206"/>
      <c r="J14" s="298"/>
      <c r="K14" s="308"/>
      <c r="L14" s="308"/>
      <c r="M14" s="103"/>
      <c r="N14" s="103"/>
      <c r="O14" s="86"/>
      <c r="P14" s="86"/>
      <c r="Q14" s="86"/>
    </row>
    <row r="15" spans="1:17" ht="7.5" customHeight="1">
      <c r="A15" s="214" t="s">
        <v>771</v>
      </c>
      <c r="B15" s="387">
        <v>0.27</v>
      </c>
      <c r="C15" s="387">
        <v>0.17</v>
      </c>
      <c r="D15" s="387">
        <v>0.12</v>
      </c>
      <c r="E15" s="387">
        <v>0.09</v>
      </c>
      <c r="F15" s="387">
        <v>0.19</v>
      </c>
      <c r="G15" s="606">
        <v>0.16</v>
      </c>
      <c r="H15" s="684" t="s">
        <v>324</v>
      </c>
      <c r="I15" s="288"/>
      <c r="J15" s="298"/>
      <c r="K15" s="308"/>
      <c r="L15" s="308"/>
      <c r="M15" s="103"/>
      <c r="N15" s="103"/>
      <c r="O15" s="86"/>
      <c r="P15" s="86"/>
      <c r="Q15" s="86"/>
    </row>
    <row r="16" spans="7:17" ht="7.5" customHeight="1">
      <c r="G16" s="25"/>
      <c r="I16" s="288"/>
      <c r="J16" s="298"/>
      <c r="K16" s="308"/>
      <c r="L16" s="308"/>
      <c r="M16" s="103"/>
      <c r="N16" s="103"/>
      <c r="O16" s="86"/>
      <c r="P16" s="86"/>
      <c r="Q16" s="86"/>
    </row>
    <row r="17" spans="1:17" ht="7.5" customHeight="1">
      <c r="A17" s="853" t="s">
        <v>739</v>
      </c>
      <c r="B17" s="908">
        <f aca="true" t="shared" si="1" ref="B17:G17">B18+B19</f>
        <v>104</v>
      </c>
      <c r="C17" s="908">
        <f t="shared" si="1"/>
        <v>114</v>
      </c>
      <c r="D17" s="908">
        <f t="shared" si="1"/>
        <v>10</v>
      </c>
      <c r="E17" s="908">
        <f t="shared" si="1"/>
        <v>24</v>
      </c>
      <c r="F17" s="908">
        <f t="shared" si="1"/>
        <v>14</v>
      </c>
      <c r="G17" s="909">
        <f t="shared" si="1"/>
        <v>266</v>
      </c>
      <c r="H17" s="908">
        <f>H18+H19</f>
        <v>19923</v>
      </c>
      <c r="J17" s="390"/>
      <c r="K17" s="308"/>
      <c r="L17" s="308"/>
      <c r="M17" s="103"/>
      <c r="N17" s="103"/>
      <c r="O17" s="86"/>
      <c r="P17" s="86"/>
      <c r="Q17" s="86"/>
    </row>
    <row r="18" spans="1:17" ht="7.5" customHeight="1">
      <c r="A18" s="80" t="s">
        <v>624</v>
      </c>
      <c r="B18" s="607">
        <v>68</v>
      </c>
      <c r="C18" s="685">
        <v>95</v>
      </c>
      <c r="D18" s="685">
        <v>10</v>
      </c>
      <c r="E18" s="685">
        <v>0</v>
      </c>
      <c r="F18" s="685">
        <v>14</v>
      </c>
      <c r="G18" s="168">
        <v>187</v>
      </c>
      <c r="H18" s="218">
        <v>15541</v>
      </c>
      <c r="I18" s="288"/>
      <c r="J18" s="298"/>
      <c r="K18" s="308"/>
      <c r="L18" s="308"/>
      <c r="M18" s="103"/>
      <c r="N18" s="103"/>
      <c r="O18" s="86"/>
      <c r="P18" s="86"/>
      <c r="Q18" s="86"/>
    </row>
    <row r="19" spans="1:17" ht="7.5" customHeight="1">
      <c r="A19" s="80" t="s">
        <v>623</v>
      </c>
      <c r="B19" s="607">
        <v>36</v>
      </c>
      <c r="C19" s="685">
        <v>19</v>
      </c>
      <c r="D19" s="685">
        <v>0</v>
      </c>
      <c r="E19" s="685">
        <v>24</v>
      </c>
      <c r="F19" s="685">
        <v>0</v>
      </c>
      <c r="G19" s="168">
        <v>79</v>
      </c>
      <c r="H19" s="218">
        <v>4382</v>
      </c>
      <c r="I19" s="288"/>
      <c r="J19" s="298"/>
      <c r="K19" s="308"/>
      <c r="L19" s="308"/>
      <c r="M19" s="103"/>
      <c r="N19" s="103"/>
      <c r="O19" s="86"/>
      <c r="P19" s="86"/>
      <c r="Q19" s="86"/>
    </row>
    <row r="20" spans="1:17" ht="7.5" customHeight="1">
      <c r="A20" s="80"/>
      <c r="B20" s="607"/>
      <c r="C20" s="685"/>
      <c r="D20" s="685"/>
      <c r="E20" s="685"/>
      <c r="F20" s="685"/>
      <c r="G20" s="168"/>
      <c r="H20" s="218"/>
      <c r="I20" s="288"/>
      <c r="J20" s="298"/>
      <c r="K20" s="308"/>
      <c r="L20" s="308"/>
      <c r="M20" s="103"/>
      <c r="N20" s="103"/>
      <c r="O20" s="86"/>
      <c r="P20" s="86"/>
      <c r="Q20" s="86"/>
    </row>
    <row r="21" spans="1:26" ht="7.5" customHeight="1">
      <c r="A21" s="773" t="s">
        <v>426</v>
      </c>
      <c r="B21" s="774">
        <f>(B9+B17)/(SUM('page 7 Démo'!B10:B12))*1000</f>
        <v>1.235997315614422</v>
      </c>
      <c r="C21" s="774">
        <f>(C9+C17)/(SUM('page 7 Démo'!C10:C12))*1000</f>
        <v>1.0881902975867346</v>
      </c>
      <c r="D21" s="774">
        <f>(D9+D17)/(SUM('page 7 Démo'!D10:D12))*1000</f>
        <v>0.8419390909688876</v>
      </c>
      <c r="E21" s="774">
        <f>(E9+E17)/(SUM('page 7 Démo'!E10:E12))*1000</f>
        <v>1.1324551838749601</v>
      </c>
      <c r="F21" s="774">
        <f>(F9+F17)/(SUM('page 7 Démo'!F10:F12))*1000</f>
        <v>0.682613452588668</v>
      </c>
      <c r="G21" s="774">
        <f>(G9+G17)/(SUM('page 7 Démo'!G10:G12))*1000</f>
        <v>1.0599741440463424</v>
      </c>
      <c r="H21" s="774">
        <f>(H9+H17)/(SUM('page 7 Démo'!H10:H12))*1000</f>
        <v>1.7753651807571855</v>
      </c>
      <c r="J21" s="390"/>
      <c r="K21" s="308"/>
      <c r="L21" s="308"/>
      <c r="M21" s="103"/>
      <c r="N21" s="103"/>
      <c r="O21" s="86"/>
      <c r="P21" s="86"/>
      <c r="Q21" s="86"/>
      <c r="R21" s="84"/>
      <c r="S21" s="84"/>
      <c r="T21" s="84"/>
      <c r="U21" s="84"/>
      <c r="V21" s="84"/>
      <c r="W21" s="84"/>
      <c r="X21" s="84"/>
      <c r="Y21" s="84"/>
      <c r="Z21" s="84"/>
    </row>
    <row r="22" spans="1:26" ht="7.5" customHeight="1">
      <c r="A22" s="23"/>
      <c r="B22" s="108"/>
      <c r="C22" s="108"/>
      <c r="D22" s="108"/>
      <c r="E22" s="108"/>
      <c r="F22" s="108"/>
      <c r="G22" s="30"/>
      <c r="H22" s="92"/>
      <c r="J22" s="298"/>
      <c r="K22" s="308"/>
      <c r="L22" s="308"/>
      <c r="M22" s="103"/>
      <c r="N22" s="103"/>
      <c r="O22" s="86"/>
      <c r="P22" s="86"/>
      <c r="Q22" s="86"/>
      <c r="R22" s="84"/>
      <c r="S22" s="84"/>
      <c r="T22" s="84"/>
      <c r="U22" s="84"/>
      <c r="V22" s="84"/>
      <c r="W22" s="84"/>
      <c r="X22" s="84"/>
      <c r="Y22" s="84"/>
      <c r="Z22" s="84"/>
    </row>
    <row r="23" spans="1:26" ht="7.5" customHeight="1">
      <c r="A23" s="910" t="s">
        <v>813</v>
      </c>
      <c r="B23" s="910"/>
      <c r="C23" s="910"/>
      <c r="D23" s="910"/>
      <c r="E23" s="910"/>
      <c r="F23" s="910"/>
      <c r="G23" s="910"/>
      <c r="H23" s="910"/>
      <c r="J23" s="390"/>
      <c r="K23" s="308"/>
      <c r="L23" s="308"/>
      <c r="M23" s="103"/>
      <c r="N23" s="103"/>
      <c r="O23" s="86"/>
      <c r="P23" s="86"/>
      <c r="Q23" s="86"/>
      <c r="R23" s="84"/>
      <c r="S23" s="84"/>
      <c r="T23" s="84"/>
      <c r="U23" s="84"/>
      <c r="V23" s="84"/>
      <c r="W23" s="84"/>
      <c r="X23" s="84"/>
      <c r="Y23" s="84"/>
      <c r="Z23" s="84"/>
    </row>
    <row r="24" spans="1:17" ht="7.5" customHeight="1">
      <c r="A24" s="80" t="s">
        <v>495</v>
      </c>
      <c r="B24" s="764">
        <v>202</v>
      </c>
      <c r="C24" s="765">
        <v>106</v>
      </c>
      <c r="D24" s="765">
        <v>33</v>
      </c>
      <c r="E24" s="765">
        <v>82</v>
      </c>
      <c r="F24" s="765">
        <v>86</v>
      </c>
      <c r="G24" s="168">
        <f>SUM(B24:F24)</f>
        <v>509</v>
      </c>
      <c r="H24" s="218">
        <v>10534</v>
      </c>
      <c r="I24" s="288"/>
      <c r="J24" s="298"/>
      <c r="K24" s="308"/>
      <c r="L24" s="308"/>
      <c r="M24" s="103"/>
      <c r="N24" s="103"/>
      <c r="O24" s="86"/>
      <c r="P24" s="86"/>
      <c r="Q24" s="86"/>
    </row>
    <row r="25" spans="1:17" ht="7.5" customHeight="1">
      <c r="A25" s="80" t="s">
        <v>814</v>
      </c>
      <c r="B25" s="764">
        <v>2005</v>
      </c>
      <c r="C25" s="765">
        <v>1099</v>
      </c>
      <c r="D25" s="765">
        <v>693</v>
      </c>
      <c r="E25" s="765">
        <v>609</v>
      </c>
      <c r="F25" s="765">
        <v>774</v>
      </c>
      <c r="G25" s="168">
        <f>SUM(B25:F25)</f>
        <v>5180</v>
      </c>
      <c r="H25" s="218">
        <v>95698</v>
      </c>
      <c r="I25" s="288"/>
      <c r="J25" s="390"/>
      <c r="K25" s="308"/>
      <c r="L25" s="308"/>
      <c r="M25" s="103"/>
      <c r="N25" s="103"/>
      <c r="O25" s="86"/>
      <c r="P25" s="86"/>
      <c r="Q25" s="86"/>
    </row>
    <row r="26" spans="1:17" ht="7.5" customHeight="1">
      <c r="A26" s="80" t="s">
        <v>815</v>
      </c>
      <c r="B26" s="764">
        <v>0</v>
      </c>
      <c r="C26" s="765">
        <v>337</v>
      </c>
      <c r="D26" s="765">
        <v>0</v>
      </c>
      <c r="E26" s="765">
        <v>63</v>
      </c>
      <c r="F26" s="765">
        <v>0</v>
      </c>
      <c r="G26" s="168">
        <f>SUM(B26:F26)</f>
        <v>400</v>
      </c>
      <c r="H26" s="218">
        <v>22593</v>
      </c>
      <c r="I26" s="288"/>
      <c r="J26" s="390"/>
      <c r="K26" s="308"/>
      <c r="L26" s="308"/>
      <c r="M26" s="103"/>
      <c r="N26" s="103"/>
      <c r="O26" s="86"/>
      <c r="P26" s="86"/>
      <c r="Q26" s="86"/>
    </row>
    <row r="27" spans="1:17" ht="7.5" customHeight="1">
      <c r="A27" s="80" t="s">
        <v>816</v>
      </c>
      <c r="B27" s="764">
        <v>330</v>
      </c>
      <c r="C27" s="765">
        <v>230</v>
      </c>
      <c r="D27" s="765">
        <v>0</v>
      </c>
      <c r="E27" s="765">
        <v>0</v>
      </c>
      <c r="F27" s="765">
        <v>0</v>
      </c>
      <c r="G27" s="168">
        <f>SUM(B27:F27)</f>
        <v>560</v>
      </c>
      <c r="H27" s="218">
        <v>57519</v>
      </c>
      <c r="I27" s="288"/>
      <c r="J27" s="390"/>
      <c r="K27" s="308"/>
      <c r="L27" s="308"/>
      <c r="M27" s="103"/>
      <c r="N27" s="103"/>
      <c r="O27" s="86"/>
      <c r="P27" s="86"/>
      <c r="Q27" s="86"/>
    </row>
    <row r="28" spans="1:26" ht="7.5" customHeight="1" thickBot="1">
      <c r="A28" s="911"/>
      <c r="B28" s="912"/>
      <c r="C28" s="912"/>
      <c r="D28" s="912"/>
      <c r="E28" s="912"/>
      <c r="F28" s="912"/>
      <c r="G28" s="913"/>
      <c r="H28" s="914"/>
      <c r="J28" s="390"/>
      <c r="K28" s="308"/>
      <c r="L28" s="308"/>
      <c r="M28" s="103"/>
      <c r="N28" s="103"/>
      <c r="O28" s="86"/>
      <c r="P28" s="86"/>
      <c r="Q28" s="86"/>
      <c r="R28" s="84"/>
      <c r="S28" s="84"/>
      <c r="T28" s="84"/>
      <c r="U28" s="84"/>
      <c r="V28" s="84"/>
      <c r="W28" s="84"/>
      <c r="X28" s="84"/>
      <c r="Y28" s="84"/>
      <c r="Z28" s="84"/>
    </row>
    <row r="29" spans="1:26" ht="7.5" customHeight="1">
      <c r="A29" s="25" t="s">
        <v>693</v>
      </c>
      <c r="B29" s="17"/>
      <c r="C29" s="17"/>
      <c r="D29" s="17"/>
      <c r="E29" s="17"/>
      <c r="F29" s="17"/>
      <c r="G29" s="17"/>
      <c r="H29" s="17"/>
      <c r="I29" s="287"/>
      <c r="J29" s="298"/>
      <c r="K29" s="308"/>
      <c r="L29" s="308"/>
      <c r="M29" s="103"/>
      <c r="N29" s="103"/>
      <c r="O29" s="86"/>
      <c r="P29" s="86"/>
      <c r="Q29" s="86"/>
      <c r="R29" s="84"/>
      <c r="S29" s="84"/>
      <c r="T29" s="84"/>
      <c r="U29" s="84"/>
      <c r="V29" s="84"/>
      <c r="W29" s="84"/>
      <c r="X29" s="84"/>
      <c r="Y29" s="84"/>
      <c r="Z29" s="84"/>
    </row>
    <row r="30" spans="1:12" ht="7.5" customHeight="1">
      <c r="A30" s="325" t="s">
        <v>297</v>
      </c>
      <c r="B30" s="17"/>
      <c r="C30" s="17"/>
      <c r="D30" s="17"/>
      <c r="E30" s="17"/>
      <c r="F30" s="17"/>
      <c r="G30" s="17"/>
      <c r="H30" s="17"/>
      <c r="L30" s="308"/>
    </row>
    <row r="31" spans="1:12" ht="7.5" customHeight="1">
      <c r="A31" s="325" t="s">
        <v>904</v>
      </c>
      <c r="B31" s="25"/>
      <c r="C31" s="25"/>
      <c r="D31" s="25"/>
      <c r="E31" s="25"/>
      <c r="F31" s="25"/>
      <c r="G31" s="25"/>
      <c r="H31" s="31"/>
      <c r="L31" s="308"/>
    </row>
    <row r="32" spans="1:12" ht="7.5" customHeight="1">
      <c r="A32" s="747" t="s">
        <v>817</v>
      </c>
      <c r="B32" s="25"/>
      <c r="C32" s="25"/>
      <c r="D32" s="25"/>
      <c r="E32" s="25"/>
      <c r="F32" s="25"/>
      <c r="G32" s="25"/>
      <c r="H32" s="31"/>
      <c r="L32" s="308"/>
    </row>
  </sheetData>
  <sheetProtection/>
  <mergeCells count="2">
    <mergeCell ref="A1:H1"/>
    <mergeCell ref="A2:H2"/>
  </mergeCells>
  <printOptions/>
  <pageMargins left="0.5905511811023623" right="0.5905511811023623" top="0.7874015748031497" bottom="0.7874015748031497" header="0.31496062992125984" footer="0.31496062992125984"/>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L22"/>
  <sheetViews>
    <sheetView zoomScale="140" zoomScaleNormal="140" zoomScalePageLayoutView="0" workbookViewId="0" topLeftCell="A1">
      <selection activeCell="A1" sqref="A1:H1"/>
    </sheetView>
  </sheetViews>
  <sheetFormatPr defaultColWidth="11.421875" defaultRowHeight="9.75" customHeight="1"/>
  <cols>
    <col min="1" max="1" width="23.7109375" style="1" customWidth="1"/>
    <col min="2" max="6" width="6.7109375" style="1" customWidth="1"/>
    <col min="7" max="7" width="6.8515625" style="1" customWidth="1"/>
    <col min="8" max="8" width="9.421875" style="5" customWidth="1"/>
    <col min="9" max="10" width="4.7109375" style="282" customWidth="1"/>
    <col min="11" max="11" width="27.28125" style="282" customWidth="1"/>
    <col min="12" max="12" width="11.421875" style="282" customWidth="1"/>
    <col min="13" max="16384" width="11.421875" style="1" customWidth="1"/>
  </cols>
  <sheetData>
    <row r="1" spans="1:8" ht="15" customHeight="1">
      <c r="A1" s="1021" t="s">
        <v>575</v>
      </c>
      <c r="B1" s="1021"/>
      <c r="C1" s="1021"/>
      <c r="D1" s="1021"/>
      <c r="E1" s="1021"/>
      <c r="F1" s="1021"/>
      <c r="G1" s="1021"/>
      <c r="H1" s="1021"/>
    </row>
    <row r="2" spans="1:12" s="2" customFormat="1" ht="9.75" customHeight="1">
      <c r="A2" s="1002" t="s">
        <v>740</v>
      </c>
      <c r="B2" s="1022"/>
      <c r="C2" s="1022"/>
      <c r="D2" s="1022"/>
      <c r="E2" s="1022"/>
      <c r="F2" s="1022"/>
      <c r="G2" s="1022"/>
      <c r="H2" s="1022"/>
      <c r="I2" s="299"/>
      <c r="J2" s="299"/>
      <c r="K2" s="299"/>
      <c r="L2" s="299"/>
    </row>
    <row r="3" spans="1:2" ht="7.5" customHeight="1">
      <c r="A3" s="3"/>
      <c r="B3" s="4"/>
    </row>
    <row r="4" spans="1:12" s="4" customFormat="1" ht="19.5" customHeight="1">
      <c r="A4" s="6"/>
      <c r="B4" s="7" t="s">
        <v>521</v>
      </c>
      <c r="C4" s="26" t="s">
        <v>531</v>
      </c>
      <c r="D4" s="7" t="s">
        <v>523</v>
      </c>
      <c r="E4" s="7" t="s">
        <v>524</v>
      </c>
      <c r="F4" s="7" t="s">
        <v>525</v>
      </c>
      <c r="G4" s="27" t="s">
        <v>532</v>
      </c>
      <c r="H4" s="107" t="s">
        <v>527</v>
      </c>
      <c r="I4" s="284"/>
      <c r="J4" s="284"/>
      <c r="K4" s="284"/>
      <c r="L4" s="284"/>
    </row>
    <row r="5" spans="1:8" ht="7.5" customHeight="1">
      <c r="A5" s="9"/>
      <c r="B5" s="7"/>
      <c r="C5" s="7"/>
      <c r="D5" s="7"/>
      <c r="E5" s="7"/>
      <c r="F5" s="7"/>
      <c r="G5" s="8"/>
      <c r="H5" s="8"/>
    </row>
    <row r="6" spans="1:12" s="5" customFormat="1" ht="7.5" customHeight="1">
      <c r="A6" s="915" t="s">
        <v>133</v>
      </c>
      <c r="B6" s="916"/>
      <c r="C6" s="916"/>
      <c r="D6" s="916"/>
      <c r="E6" s="916"/>
      <c r="F6" s="916"/>
      <c r="G6" s="872"/>
      <c r="H6" s="916"/>
      <c r="I6" s="286"/>
      <c r="J6" s="286"/>
      <c r="K6" s="286"/>
      <c r="L6" s="286"/>
    </row>
    <row r="7" spans="1:8" ht="7.5" customHeight="1">
      <c r="A7" s="72" t="s">
        <v>134</v>
      </c>
      <c r="B7" s="477">
        <v>129863</v>
      </c>
      <c r="C7" s="477">
        <v>80291</v>
      </c>
      <c r="D7" s="477">
        <v>31666</v>
      </c>
      <c r="E7" s="477">
        <v>55559</v>
      </c>
      <c r="F7" s="477">
        <v>61792</v>
      </c>
      <c r="G7" s="604">
        <f>SUM(B7:F7)</f>
        <v>359171</v>
      </c>
      <c r="H7" s="451">
        <v>5969667</v>
      </c>
    </row>
    <row r="8" spans="1:8" ht="7.5" customHeight="1">
      <c r="A8" s="72" t="s">
        <v>135</v>
      </c>
      <c r="B8" s="477">
        <v>84005</v>
      </c>
      <c r="C8" s="477">
        <v>51751</v>
      </c>
      <c r="D8" s="477">
        <v>18152</v>
      </c>
      <c r="E8" s="477">
        <v>33778</v>
      </c>
      <c r="F8" s="477">
        <v>33085</v>
      </c>
      <c r="G8" s="604">
        <f>SUM(B8:F8)</f>
        <v>220771</v>
      </c>
      <c r="H8" s="451">
        <v>3920497</v>
      </c>
    </row>
    <row r="9" spans="1:8" ht="7.5" customHeight="1">
      <c r="A9" s="72" t="s">
        <v>501</v>
      </c>
      <c r="B9" s="477">
        <v>213868</v>
      </c>
      <c r="C9" s="477">
        <v>132042</v>
      </c>
      <c r="D9" s="477">
        <v>49818</v>
      </c>
      <c r="E9" s="477">
        <v>89337</v>
      </c>
      <c r="F9" s="477">
        <v>94877</v>
      </c>
      <c r="G9" s="604">
        <f>SUM(B9:F9)</f>
        <v>579942</v>
      </c>
      <c r="H9" s="451">
        <v>9890164</v>
      </c>
    </row>
    <row r="10" spans="1:8" ht="7.5" customHeight="1">
      <c r="A10" s="915" t="s">
        <v>136</v>
      </c>
      <c r="B10" s="916"/>
      <c r="C10" s="916"/>
      <c r="D10" s="916"/>
      <c r="E10" s="916"/>
      <c r="F10" s="916"/>
      <c r="G10" s="873"/>
      <c r="H10" s="916"/>
    </row>
    <row r="11" spans="1:8" ht="7.5" customHeight="1">
      <c r="A11" s="72" t="s">
        <v>134</v>
      </c>
      <c r="B11" s="477">
        <v>123771</v>
      </c>
      <c r="C11" s="477">
        <v>77461</v>
      </c>
      <c r="D11" s="477">
        <v>30636</v>
      </c>
      <c r="E11" s="477">
        <v>53667</v>
      </c>
      <c r="F11" s="477">
        <v>58365</v>
      </c>
      <c r="G11" s="604">
        <f>SUM(B11:F11)</f>
        <v>343900</v>
      </c>
      <c r="H11" s="451">
        <v>5707058</v>
      </c>
    </row>
    <row r="12" spans="1:8" ht="7.5" customHeight="1">
      <c r="A12" s="72" t="s">
        <v>135</v>
      </c>
      <c r="B12" s="477">
        <v>80819</v>
      </c>
      <c r="C12" s="477">
        <v>51363</v>
      </c>
      <c r="D12" s="477">
        <v>16047</v>
      </c>
      <c r="E12" s="477">
        <v>32113</v>
      </c>
      <c r="F12" s="477">
        <v>30653</v>
      </c>
      <c r="G12" s="604">
        <f>SUM(B12:F12)</f>
        <v>210995</v>
      </c>
      <c r="H12" s="451">
        <v>3801398</v>
      </c>
    </row>
    <row r="13" spans="1:8" ht="7.5" customHeight="1">
      <c r="A13" s="72" t="s">
        <v>501</v>
      </c>
      <c r="B13" s="478">
        <v>204590</v>
      </c>
      <c r="C13" s="478">
        <v>128824</v>
      </c>
      <c r="D13" s="478">
        <v>46683</v>
      </c>
      <c r="E13" s="478">
        <v>85780</v>
      </c>
      <c r="F13" s="478">
        <v>89018</v>
      </c>
      <c r="G13" s="604">
        <f>SUM(B13:F13)</f>
        <v>554895</v>
      </c>
      <c r="H13" s="681">
        <v>9508456</v>
      </c>
    </row>
    <row r="14" spans="1:8" ht="7.5" customHeight="1">
      <c r="A14" s="917" t="s">
        <v>137</v>
      </c>
      <c r="B14" s="916"/>
      <c r="C14" s="916"/>
      <c r="D14" s="916"/>
      <c r="E14" s="916"/>
      <c r="F14" s="916"/>
      <c r="G14" s="873"/>
      <c r="H14" s="916"/>
    </row>
    <row r="15" spans="1:8" ht="7.5" customHeight="1">
      <c r="A15" s="72" t="s">
        <v>134</v>
      </c>
      <c r="B15" s="70">
        <f>B7+B11</f>
        <v>253634</v>
      </c>
      <c r="C15" s="70">
        <f>C7+C11</f>
        <v>157752</v>
      </c>
      <c r="D15" s="70">
        <f>D7+D11</f>
        <v>62302</v>
      </c>
      <c r="E15" s="70">
        <f>E7+E11</f>
        <v>109226</v>
      </c>
      <c r="F15" s="70">
        <f>F7+F11</f>
        <v>120157</v>
      </c>
      <c r="G15" s="480">
        <f>SUM(B15:F15)</f>
        <v>703071</v>
      </c>
      <c r="H15" s="11">
        <f>H7+H11</f>
        <v>11676725</v>
      </c>
    </row>
    <row r="16" spans="1:8" ht="7.5" customHeight="1">
      <c r="A16" s="72" t="s">
        <v>135</v>
      </c>
      <c r="B16" s="11">
        <f aca="true" t="shared" si="0" ref="B16:F17">B8+B12</f>
        <v>164824</v>
      </c>
      <c r="C16" s="11">
        <f t="shared" si="0"/>
        <v>103114</v>
      </c>
      <c r="D16" s="11">
        <f t="shared" si="0"/>
        <v>34199</v>
      </c>
      <c r="E16" s="11">
        <f t="shared" si="0"/>
        <v>65891</v>
      </c>
      <c r="F16" s="11">
        <f t="shared" si="0"/>
        <v>63738</v>
      </c>
      <c r="G16" s="682">
        <f>SUM(B16:F16)</f>
        <v>431766</v>
      </c>
      <c r="H16" s="278">
        <f>H8+H12</f>
        <v>7721895</v>
      </c>
    </row>
    <row r="17" spans="1:8" ht="7.5" customHeight="1">
      <c r="A17" s="72" t="s">
        <v>501</v>
      </c>
      <c r="B17" s="278">
        <f t="shared" si="0"/>
        <v>418458</v>
      </c>
      <c r="C17" s="278">
        <f t="shared" si="0"/>
        <v>260866</v>
      </c>
      <c r="D17" s="278">
        <f t="shared" si="0"/>
        <v>96501</v>
      </c>
      <c r="E17" s="278">
        <f t="shared" si="0"/>
        <v>175117</v>
      </c>
      <c r="F17" s="278">
        <f t="shared" si="0"/>
        <v>183895</v>
      </c>
      <c r="G17" s="480">
        <f>SUM(B17:F17)</f>
        <v>1134837</v>
      </c>
      <c r="H17" s="11">
        <f>H9+H13</f>
        <v>19398620</v>
      </c>
    </row>
    <row r="18" spans="1:8" ht="7.5" customHeight="1">
      <c r="A18" s="72"/>
      <c r="B18" s="188"/>
      <c r="C18" s="188"/>
      <c r="D18" s="188"/>
      <c r="E18" s="188"/>
      <c r="F18" s="188"/>
      <c r="G18" s="233"/>
      <c r="H18" s="188"/>
    </row>
    <row r="19" spans="1:8" ht="7.5" customHeight="1">
      <c r="A19" s="918" t="s">
        <v>250</v>
      </c>
      <c r="B19" s="919">
        <f>B17/'page 7 Démo'!B17</f>
        <v>0.3211242702994314</v>
      </c>
      <c r="C19" s="919">
        <f>C17/'page 7 Démo'!C17</f>
        <v>0.3270239201100167</v>
      </c>
      <c r="D19" s="919">
        <f>D17/'page 7 Démo'!D17</f>
        <v>0.3099268708630009</v>
      </c>
      <c r="E19" s="919">
        <f>E17/'page 7 Démo'!E17</f>
        <v>0.30573649853082646</v>
      </c>
      <c r="F19" s="919">
        <f>F17/'page 7 Démo'!F17</f>
        <v>0.2850197070370319</v>
      </c>
      <c r="G19" s="919">
        <f>G17/'page 7 Démo'!G17</f>
        <v>0.3126153020586815</v>
      </c>
      <c r="H19" s="919">
        <f>H17/'page 7 Démo'!H17</f>
        <v>0.30592757444263874</v>
      </c>
    </row>
    <row r="20" spans="1:8" ht="7.5" customHeight="1" thickBot="1">
      <c r="A20" s="920"/>
      <c r="B20" s="921"/>
      <c r="C20" s="921"/>
      <c r="D20" s="921"/>
      <c r="E20" s="921"/>
      <c r="F20" s="921"/>
      <c r="G20" s="921"/>
      <c r="H20" s="922"/>
    </row>
    <row r="21" ht="7.5" customHeight="1">
      <c r="A21" s="74" t="s">
        <v>382</v>
      </c>
    </row>
    <row r="22" ht="7.5" customHeight="1">
      <c r="A22" s="12"/>
    </row>
    <row r="23" ht="7.5" customHeight="1"/>
    <row r="24" ht="7.5" customHeight="1"/>
    <row r="25" ht="7.5" customHeight="1"/>
    <row r="26" ht="7.5" customHeight="1"/>
    <row r="27" ht="7.5" customHeight="1"/>
    <row r="28" ht="7.5" customHeight="1"/>
    <row r="29" ht="7.5" customHeight="1"/>
    <row r="30" ht="7.5" customHeight="1"/>
    <row r="31" ht="7.5" customHeight="1"/>
    <row r="32" ht="7.5" customHeight="1"/>
    <row r="33" ht="7.5" customHeight="1"/>
    <row r="34" ht="7.5" customHeight="1"/>
    <row r="35" ht="7.5" customHeight="1"/>
    <row r="36" ht="7.5" customHeight="1"/>
  </sheetData>
  <sheetProtection/>
  <mergeCells count="2">
    <mergeCell ref="A1:H1"/>
    <mergeCell ref="A2:H2"/>
  </mergeCells>
  <printOptions/>
  <pageMargins left="0.5905511811023623"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37"/>
  <sheetViews>
    <sheetView zoomScalePageLayoutView="0" workbookViewId="0" topLeftCell="A1">
      <selection activeCell="D10" sqref="D10"/>
    </sheetView>
  </sheetViews>
  <sheetFormatPr defaultColWidth="11.421875" defaultRowHeight="15"/>
  <cols>
    <col min="1" max="1" width="50.7109375" style="0" customWidth="1"/>
    <col min="2" max="2" width="10.7109375" style="0" customWidth="1"/>
    <col min="3" max="3" width="3.7109375" style="0" customWidth="1"/>
    <col min="4" max="4" width="50.7109375" style="0" customWidth="1"/>
    <col min="5" max="5" width="10.7109375" style="0" customWidth="1"/>
  </cols>
  <sheetData>
    <row r="1" spans="1:5" ht="15" customHeight="1">
      <c r="A1" s="999" t="s">
        <v>58</v>
      </c>
      <c r="B1" s="999"/>
      <c r="C1" s="999"/>
      <c r="D1" s="999"/>
      <c r="E1" s="999"/>
    </row>
    <row r="2" spans="1:5" ht="12" customHeight="1">
      <c r="A2" s="241"/>
      <c r="B2" s="242"/>
      <c r="C2" s="242"/>
      <c r="D2" s="242"/>
      <c r="E2" s="242"/>
    </row>
    <row r="3" spans="1:5" ht="12.75" customHeight="1">
      <c r="A3" s="794" t="s">
        <v>280</v>
      </c>
      <c r="B3" s="794">
        <v>5</v>
      </c>
      <c r="C3" s="243"/>
      <c r="D3" s="794" t="s">
        <v>549</v>
      </c>
      <c r="E3" s="794">
        <f>B20+1</f>
        <v>20</v>
      </c>
    </row>
    <row r="4" spans="1:5" ht="12.75" customHeight="1">
      <c r="A4" s="436" t="s">
        <v>77</v>
      </c>
      <c r="B4" s="81">
        <f>B3</f>
        <v>5</v>
      </c>
      <c r="C4" s="243"/>
      <c r="D4" s="436" t="s">
        <v>83</v>
      </c>
      <c r="E4" s="104">
        <f>E3</f>
        <v>20</v>
      </c>
    </row>
    <row r="5" spans="1:5" ht="12.75" customHeight="1">
      <c r="A5" s="436" t="s">
        <v>78</v>
      </c>
      <c r="B5" s="81">
        <f aca="true" t="shared" si="0" ref="B5:B10">B4+1</f>
        <v>6</v>
      </c>
      <c r="C5" s="243"/>
      <c r="D5" s="436" t="s">
        <v>485</v>
      </c>
      <c r="E5" s="104">
        <f>E4+1</f>
        <v>21</v>
      </c>
    </row>
    <row r="6" spans="1:5" ht="12.75" customHeight="1">
      <c r="A6" s="436" t="s">
        <v>79</v>
      </c>
      <c r="B6" s="81">
        <f t="shared" si="0"/>
        <v>7</v>
      </c>
      <c r="C6" s="243"/>
      <c r="D6" s="436" t="s">
        <v>550</v>
      </c>
      <c r="E6" s="104">
        <f>E5+1</f>
        <v>22</v>
      </c>
    </row>
    <row r="7" spans="1:5" ht="12.75" customHeight="1">
      <c r="A7" s="436" t="s">
        <v>80</v>
      </c>
      <c r="B7" s="81">
        <f t="shared" si="0"/>
        <v>8</v>
      </c>
      <c r="C7" s="243"/>
      <c r="D7" s="794" t="s">
        <v>551</v>
      </c>
      <c r="E7" s="794">
        <f>E6+1</f>
        <v>23</v>
      </c>
    </row>
    <row r="8" spans="1:5" ht="12.75" customHeight="1">
      <c r="A8" s="794" t="s">
        <v>170</v>
      </c>
      <c r="B8" s="794">
        <f t="shared" si="0"/>
        <v>9</v>
      </c>
      <c r="C8" s="243"/>
      <c r="D8" s="436" t="s">
        <v>89</v>
      </c>
      <c r="E8" s="104">
        <f>E7</f>
        <v>23</v>
      </c>
    </row>
    <row r="9" spans="1:5" ht="12.75" customHeight="1">
      <c r="A9" s="436" t="s">
        <v>281</v>
      </c>
      <c r="B9" s="81">
        <v>9</v>
      </c>
      <c r="C9" s="243"/>
      <c r="D9" s="436" t="s">
        <v>92</v>
      </c>
      <c r="E9" s="104">
        <f>E8+1</f>
        <v>24</v>
      </c>
    </row>
    <row r="10" spans="1:5" ht="12.75" customHeight="1">
      <c r="A10" s="794" t="s">
        <v>547</v>
      </c>
      <c r="B10" s="794">
        <f t="shared" si="0"/>
        <v>10</v>
      </c>
      <c r="C10" s="243"/>
      <c r="D10" s="436" t="s">
        <v>93</v>
      </c>
      <c r="E10" s="104">
        <f>E9+1</f>
        <v>25</v>
      </c>
    </row>
    <row r="11" spans="1:5" ht="12.75" customHeight="1">
      <c r="A11" s="436" t="s">
        <v>107</v>
      </c>
      <c r="B11" s="81">
        <f>B10</f>
        <v>10</v>
      </c>
      <c r="C11" s="243"/>
      <c r="D11" s="436" t="s">
        <v>96</v>
      </c>
      <c r="E11" s="104">
        <f>E10+1</f>
        <v>26</v>
      </c>
    </row>
    <row r="12" spans="1:5" ht="12.75" customHeight="1">
      <c r="A12" s="436" t="s">
        <v>548</v>
      </c>
      <c r="B12" s="81">
        <f aca="true" t="shared" si="1" ref="B12:B20">B11+1</f>
        <v>11</v>
      </c>
      <c r="C12" s="243"/>
      <c r="D12" s="436" t="s">
        <v>94</v>
      </c>
      <c r="E12" s="104">
        <f>E11+1</f>
        <v>27</v>
      </c>
    </row>
    <row r="13" spans="1:5" ht="12.75" customHeight="1">
      <c r="A13" s="436" t="s">
        <v>82</v>
      </c>
      <c r="B13" s="81">
        <f t="shared" si="1"/>
        <v>12</v>
      </c>
      <c r="C13" s="243"/>
      <c r="D13" s="794" t="s">
        <v>98</v>
      </c>
      <c r="E13" s="794">
        <f>E12+1</f>
        <v>28</v>
      </c>
    </row>
    <row r="14" spans="1:5" ht="12.75" customHeight="1">
      <c r="A14" s="436" t="s">
        <v>84</v>
      </c>
      <c r="B14" s="81">
        <f t="shared" si="1"/>
        <v>13</v>
      </c>
      <c r="C14" s="243"/>
      <c r="D14" s="436" t="s">
        <v>100</v>
      </c>
      <c r="E14" s="104">
        <f>E13</f>
        <v>28</v>
      </c>
    </row>
    <row r="15" spans="1:5" ht="12.75" customHeight="1">
      <c r="A15" s="436" t="s">
        <v>85</v>
      </c>
      <c r="B15" s="81">
        <f t="shared" si="1"/>
        <v>14</v>
      </c>
      <c r="C15" s="243"/>
      <c r="D15" s="436" t="s">
        <v>303</v>
      </c>
      <c r="E15" s="104">
        <f>E14+1</f>
        <v>29</v>
      </c>
    </row>
    <row r="16" spans="1:5" ht="12.75" customHeight="1">
      <c r="A16" s="436" t="s">
        <v>86</v>
      </c>
      <c r="B16" s="81">
        <f t="shared" si="1"/>
        <v>15</v>
      </c>
      <c r="C16" s="243"/>
      <c r="D16" s="436" t="s">
        <v>304</v>
      </c>
      <c r="E16" s="104">
        <f>E15+1</f>
        <v>30</v>
      </c>
    </row>
    <row r="17" spans="1:5" ht="12.75" customHeight="1">
      <c r="A17" s="436" t="s">
        <v>81</v>
      </c>
      <c r="B17" s="81">
        <f t="shared" si="1"/>
        <v>16</v>
      </c>
      <c r="C17" s="243"/>
      <c r="D17" s="436" t="s">
        <v>149</v>
      </c>
      <c r="E17" s="104">
        <f>E16+1</f>
        <v>31</v>
      </c>
    </row>
    <row r="18" spans="1:5" ht="12.75" customHeight="1">
      <c r="A18" s="436" t="s">
        <v>105</v>
      </c>
      <c r="B18" s="81">
        <f t="shared" si="1"/>
        <v>17</v>
      </c>
      <c r="C18" s="243"/>
      <c r="D18" s="436" t="s">
        <v>150</v>
      </c>
      <c r="E18" s="104">
        <f>E17+1</f>
        <v>32</v>
      </c>
    </row>
    <row r="19" spans="1:5" ht="12.75" customHeight="1">
      <c r="A19" s="437" t="s">
        <v>87</v>
      </c>
      <c r="B19" s="81">
        <f>B18+1</f>
        <v>18</v>
      </c>
      <c r="C19" s="243"/>
      <c r="D19" s="436" t="s">
        <v>871</v>
      </c>
      <c r="E19" s="104">
        <f>E18+1</f>
        <v>33</v>
      </c>
    </row>
    <row r="20" spans="1:5" ht="12.75" customHeight="1">
      <c r="A20" s="437" t="s">
        <v>88</v>
      </c>
      <c r="B20" s="81">
        <f t="shared" si="1"/>
        <v>19</v>
      </c>
      <c r="C20" s="243"/>
      <c r="D20" s="83"/>
      <c r="E20" s="83"/>
    </row>
    <row r="21" spans="1:5" ht="12.75" customHeight="1">
      <c r="A21" s="81"/>
      <c r="B21" s="81"/>
      <c r="C21" s="243"/>
      <c r="D21" s="83"/>
      <c r="E21" s="83"/>
    </row>
    <row r="22" spans="4:5" ht="15">
      <c r="D22" s="83"/>
      <c r="E22" s="83"/>
    </row>
    <row r="23" spans="4:5" ht="15">
      <c r="D23" s="243"/>
      <c r="E23" s="243"/>
    </row>
    <row r="24" spans="4:5" ht="15">
      <c r="D24" s="81"/>
      <c r="E24" s="81"/>
    </row>
    <row r="25" spans="4:5" ht="15">
      <c r="D25" s="81"/>
      <c r="E25" s="81"/>
    </row>
    <row r="26" spans="4:5" ht="15">
      <c r="D26" s="81"/>
      <c r="E26" s="81"/>
    </row>
    <row r="27" ht="15">
      <c r="E27" s="81"/>
    </row>
    <row r="28" ht="15">
      <c r="E28" s="81"/>
    </row>
    <row r="37" ht="15">
      <c r="G37" t="s">
        <v>337</v>
      </c>
    </row>
  </sheetData>
  <sheetProtection/>
  <mergeCells count="1">
    <mergeCell ref="A1:E1"/>
  </mergeCells>
  <hyperlinks>
    <hyperlink ref="A4" location="'page 5 Démo'!A1" display="Données générales"/>
    <hyperlink ref="A5" location="'page 6 Démo'!A1" display="Indicateurs démographiques"/>
    <hyperlink ref="A6" location="'page 7 Démo'!A1" display="Répartition par âge de la population"/>
    <hyperlink ref="A7" location="'page 8 Démo'!A1" display="Structure par âge de la population"/>
    <hyperlink ref="A9" location="'page 9 Ville'!A1" display="Contrats urbains et ZUS"/>
    <hyperlink ref="A11" location="'page 10 Pauvreté'!A1" display="Revenus et inégalités de revenus"/>
    <hyperlink ref="A12" location="'page 11 Pauvreté '!A1" display="Pauvreté et précarité"/>
    <hyperlink ref="A13" location="'page 12 Pauvreté'!A1" display="Taux de chômage et indemnisation"/>
    <hyperlink ref="A14" location="'page 13 Pauvreté'!A1" display="Demandeurs d’emploi"/>
    <hyperlink ref="A15" location="'page 14 Pauvreté'!A1" display="Demandeurs d’emploi de longue durée par sexe et par âge"/>
    <hyperlink ref="A16" location="'page 15 Pauvreté '!A1" display="Entrées et sorties à Pôle Emploi par motif"/>
    <hyperlink ref="A17" location="'page 16 Pauvreté'!A1" display="Allocataires du Revenu de Solidarité Active (RSA)"/>
    <hyperlink ref="A18" location="'page 17 pauvreté'!A1" display="Autres minima sociaux"/>
    <hyperlink ref="A19" location="'page 18 Pauvreté'!A1" display="Dépenses d’aides sociales – Compétence du Conseil Général"/>
    <hyperlink ref="A20" location="'page 19 Pauvreté'!A1" display="Dépenses d’aides sociales – Compétence de l’Etat"/>
    <hyperlink ref="D4" location="'page 20 Handicap'!A1" display="Scolarisation et formation des personnes handicapées"/>
    <hyperlink ref="D5" location="'page 21 Handicap '!A1" display="Accompagnement des personnes handicapées ou dépendantes"/>
    <hyperlink ref="D6" location="'page 22 Handicap '!A1" display="Protection juridique des majeurs vulnérables"/>
    <hyperlink ref="D8" location="'page 23 Logement'!A1" display="Parc des logements et statut d’occupation"/>
    <hyperlink ref="D9" location="'page 24 Logement'!A1" display="Parc locatif social"/>
    <hyperlink ref="D10" location="'page 25 Logement'!A1" display="Demande locative sociale"/>
    <hyperlink ref="D11" location="'page 26 Logement'!A1" display="Recours au Droit au Logement Opposable (DALO)"/>
    <hyperlink ref="D12" location="'page 27 Logement'!A1" display="Equipements d’hébergement social"/>
    <hyperlink ref="D14" location="'page 28 Jeunesse'!A1" display="La jeunesse en Pays de la Loire"/>
    <hyperlink ref="D15" location="'page 29 Jeunesse'!A1" display="Logement des jeunes"/>
    <hyperlink ref="D16" location="'page 30 Jeunesse'!A1" display="Conduites à risque, mortalité"/>
    <hyperlink ref="D17" location="'page 31 Jeunesse'!A1" display="Scolarité, formation, insertion"/>
    <hyperlink ref="D18" location="'page 32 Jeunesse'!A1" display="Activité des jeunes"/>
    <hyperlink ref="D19" location="'page 33 Jeunesse'!A1" display="Politiques publiques pour la jeunesse"/>
  </hyperlinks>
  <printOptions/>
  <pageMargins left="0.7" right="0.7" top="0.75" bottom="0.75" header="0.3" footer="0.3"/>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L37"/>
  <sheetViews>
    <sheetView zoomScale="140" zoomScaleNormal="140" workbookViewId="0" topLeftCell="A1">
      <selection activeCell="A1" sqref="A1:H1"/>
    </sheetView>
  </sheetViews>
  <sheetFormatPr defaultColWidth="11.421875" defaultRowHeight="9.75" customHeight="1"/>
  <cols>
    <col min="1" max="1" width="24.00390625" style="72" customWidth="1"/>
    <col min="2" max="2" width="6.7109375" style="72" customWidth="1"/>
    <col min="3" max="3" width="7.7109375" style="72" bestFit="1" customWidth="1"/>
    <col min="4" max="6" width="6.7109375" style="72" customWidth="1"/>
    <col min="7" max="7" width="6.8515625" style="72" customWidth="1"/>
    <col min="8" max="8" width="10.140625" style="73" customWidth="1"/>
    <col min="9" max="10" width="4.7109375" style="282" customWidth="1"/>
    <col min="11" max="11" width="27.28125" style="282" customWidth="1"/>
    <col min="12" max="12" width="11.421875" style="282" customWidth="1"/>
    <col min="13" max="16384" width="11.421875" style="72" customWidth="1"/>
  </cols>
  <sheetData>
    <row r="1" spans="1:11" ht="15" customHeight="1">
      <c r="A1" s="1000" t="s">
        <v>138</v>
      </c>
      <c r="B1" s="1000"/>
      <c r="C1" s="1000"/>
      <c r="D1" s="1000"/>
      <c r="E1" s="1000"/>
      <c r="F1" s="1000"/>
      <c r="G1" s="1000"/>
      <c r="H1" s="1000"/>
      <c r="I1" s="206"/>
      <c r="J1" s="206"/>
      <c r="K1" s="206"/>
    </row>
    <row r="2" spans="1:11" ht="9.75" customHeight="1">
      <c r="A2" s="1002" t="s">
        <v>867</v>
      </c>
      <c r="B2" s="1022"/>
      <c r="C2" s="1022"/>
      <c r="D2" s="1022"/>
      <c r="E2" s="1022"/>
      <c r="F2" s="1022"/>
      <c r="G2" s="1022"/>
      <c r="H2" s="1022"/>
      <c r="I2" s="206"/>
      <c r="J2" s="206"/>
      <c r="K2" s="206"/>
    </row>
    <row r="3" spans="1:12" s="84" customFormat="1" ht="7.5" customHeight="1">
      <c r="A3" s="372"/>
      <c r="B3" s="372"/>
      <c r="C3" s="372"/>
      <c r="D3" s="372"/>
      <c r="E3" s="372"/>
      <c r="F3" s="372"/>
      <c r="G3" s="372"/>
      <c r="H3" s="372"/>
      <c r="I3" s="206"/>
      <c r="J3" s="206"/>
      <c r="K3" s="206"/>
      <c r="L3" s="206"/>
    </row>
    <row r="4" spans="1:11" ht="19.5" customHeight="1">
      <c r="A4" s="77"/>
      <c r="B4" s="26" t="s">
        <v>521</v>
      </c>
      <c r="C4" s="26" t="s">
        <v>531</v>
      </c>
      <c r="D4" s="26" t="s">
        <v>523</v>
      </c>
      <c r="E4" s="26" t="s">
        <v>524</v>
      </c>
      <c r="F4" s="26" t="s">
        <v>525</v>
      </c>
      <c r="G4" s="27" t="s">
        <v>532</v>
      </c>
      <c r="H4" s="107" t="s">
        <v>535</v>
      </c>
      <c r="I4" s="206"/>
      <c r="J4" s="206"/>
      <c r="K4" s="206"/>
    </row>
    <row r="5" spans="1:11" ht="7.5" customHeight="1">
      <c r="A5" s="329"/>
      <c r="B5" s="207"/>
      <c r="C5" s="84"/>
      <c r="D5" s="84"/>
      <c r="E5" s="84"/>
      <c r="F5" s="84"/>
      <c r="G5" s="84"/>
      <c r="H5" s="85"/>
      <c r="I5" s="206"/>
      <c r="J5" s="206"/>
      <c r="K5" s="206"/>
    </row>
    <row r="6" spans="1:11" ht="7.5" customHeight="1">
      <c r="A6" s="830" t="s">
        <v>139</v>
      </c>
      <c r="B6" s="831"/>
      <c r="C6" s="831"/>
      <c r="D6" s="831"/>
      <c r="E6" s="831"/>
      <c r="F6" s="831"/>
      <c r="G6" s="831"/>
      <c r="H6" s="831"/>
      <c r="I6" s="206"/>
      <c r="J6" s="206"/>
      <c r="K6" s="206"/>
    </row>
    <row r="7" spans="1:11" ht="7.5" customHeight="1">
      <c r="A7" s="84" t="s">
        <v>140</v>
      </c>
      <c r="B7" s="123">
        <f aca="true" t="shared" si="0" ref="B7:G7">B29*B8/100</f>
        <v>18021.303467955568</v>
      </c>
      <c r="C7" s="123">
        <f t="shared" si="0"/>
        <v>10779.059711971518</v>
      </c>
      <c r="D7" s="123">
        <f t="shared" si="0"/>
        <v>3494.846337597648</v>
      </c>
      <c r="E7" s="123">
        <f t="shared" si="0"/>
        <v>7539.188110765876</v>
      </c>
      <c r="F7" s="99">
        <f t="shared" si="0"/>
        <v>7801.662531830116</v>
      </c>
      <c r="G7" s="217">
        <f t="shared" si="0"/>
        <v>47645.480169550894</v>
      </c>
      <c r="H7" s="123">
        <f>H29*H8/100</f>
        <v>1030081.2347574285</v>
      </c>
      <c r="I7" s="206"/>
      <c r="J7" s="206"/>
      <c r="K7" s="206"/>
    </row>
    <row r="8" spans="1:11" ht="7.5" customHeight="1">
      <c r="A8" s="105" t="s">
        <v>694</v>
      </c>
      <c r="B8" s="481">
        <v>43.273066213641314</v>
      </c>
      <c r="C8" s="481">
        <v>42.19632808885384</v>
      </c>
      <c r="D8" s="481">
        <v>43.35734501926429</v>
      </c>
      <c r="E8" s="481">
        <v>47.64952197411774</v>
      </c>
      <c r="F8" s="481">
        <v>50.86778258082686</v>
      </c>
      <c r="G8" s="482">
        <v>44.775196040912476</v>
      </c>
      <c r="H8" s="483">
        <v>53.07734982778032</v>
      </c>
      <c r="I8" s="206"/>
      <c r="J8" s="206"/>
      <c r="K8" s="206"/>
    </row>
    <row r="9" spans="1:11" ht="7.5" customHeight="1">
      <c r="A9" s="84" t="s">
        <v>141</v>
      </c>
      <c r="B9" s="70">
        <f aca="true" t="shared" si="1" ref="B9:H9">B30*B10/100</f>
        <v>11631.535851127717</v>
      </c>
      <c r="C9" s="70">
        <f t="shared" si="1"/>
        <v>6441.3279031565635</v>
      </c>
      <c r="D9" s="70">
        <f t="shared" si="1"/>
        <v>1879.2784188612052</v>
      </c>
      <c r="E9" s="70">
        <f t="shared" si="1"/>
        <v>4639.232269043739</v>
      </c>
      <c r="F9" s="479">
        <f t="shared" si="1"/>
        <v>4335.742103578924</v>
      </c>
      <c r="G9" s="480">
        <f t="shared" si="1"/>
        <v>28948.829257075275</v>
      </c>
      <c r="H9" s="70">
        <f t="shared" si="1"/>
        <v>711548.7524951883</v>
      </c>
      <c r="I9" s="206"/>
      <c r="J9" s="206"/>
      <c r="K9" s="206"/>
    </row>
    <row r="10" spans="1:11" ht="7.5" customHeight="1">
      <c r="A10" s="118" t="s">
        <v>694</v>
      </c>
      <c r="B10" s="481">
        <v>28.597710412329192</v>
      </c>
      <c r="C10" s="481">
        <v>25.317300667241106</v>
      </c>
      <c r="D10" s="481">
        <v>26.30221664151135</v>
      </c>
      <c r="E10" s="481">
        <v>31.073277757707864</v>
      </c>
      <c r="F10" s="481">
        <v>30.404323191676852</v>
      </c>
      <c r="G10" s="482">
        <v>28.256390428378563</v>
      </c>
      <c r="H10" s="483">
        <v>36.976934855024325</v>
      </c>
      <c r="I10" s="206"/>
      <c r="J10" s="206"/>
      <c r="K10" s="206"/>
    </row>
    <row r="11" spans="1:11" ht="7.5" customHeight="1">
      <c r="A11" s="85" t="s">
        <v>251</v>
      </c>
      <c r="B11" s="109">
        <f aca="true" t="shared" si="2" ref="B11:H11">B7+B9</f>
        <v>29652.839319083287</v>
      </c>
      <c r="C11" s="109">
        <f t="shared" si="2"/>
        <v>17220.387615128082</v>
      </c>
      <c r="D11" s="109">
        <f t="shared" si="2"/>
        <v>5374.124756458853</v>
      </c>
      <c r="E11" s="109">
        <f t="shared" si="2"/>
        <v>12178.420379809615</v>
      </c>
      <c r="F11" s="30">
        <f t="shared" si="2"/>
        <v>12137.404635409039</v>
      </c>
      <c r="G11" s="30">
        <f t="shared" si="2"/>
        <v>76594.30942662616</v>
      </c>
      <c r="H11" s="30">
        <f t="shared" si="2"/>
        <v>1741629.9872526168</v>
      </c>
      <c r="I11" s="206"/>
      <c r="J11" s="206"/>
      <c r="K11" s="206"/>
    </row>
    <row r="12" spans="1:11" ht="7.5" customHeight="1">
      <c r="A12" s="105" t="s">
        <v>694</v>
      </c>
      <c r="B12" s="481">
        <v>35.95595941590789</v>
      </c>
      <c r="C12" s="481">
        <v>33.713750270751625</v>
      </c>
      <c r="D12" s="481">
        <v>35.3207963833525</v>
      </c>
      <c r="E12" s="481">
        <v>39.40085267213044</v>
      </c>
      <c r="F12" s="481">
        <v>41.02275984821843</v>
      </c>
      <c r="G12" s="482">
        <v>36.600026666197124</v>
      </c>
      <c r="H12" s="483">
        <v>44.94461197877305</v>
      </c>
      <c r="I12" s="206"/>
      <c r="J12" s="206"/>
      <c r="K12" s="206"/>
    </row>
    <row r="13" spans="1:11" ht="7.5" customHeight="1">
      <c r="A13" s="112"/>
      <c r="B13" s="113"/>
      <c r="C13" s="113"/>
      <c r="D13" s="113"/>
      <c r="E13" s="113"/>
      <c r="F13" s="113"/>
      <c r="G13" s="114"/>
      <c r="H13" s="330"/>
      <c r="I13" s="206"/>
      <c r="J13" s="206"/>
      <c r="K13" s="206"/>
    </row>
    <row r="14" spans="1:11" ht="7.5" customHeight="1">
      <c r="A14" s="826" t="s">
        <v>142</v>
      </c>
      <c r="B14" s="923"/>
      <c r="C14" s="923"/>
      <c r="D14" s="923"/>
      <c r="E14" s="923"/>
      <c r="F14" s="923"/>
      <c r="G14" s="852"/>
      <c r="H14" s="924"/>
      <c r="I14" s="206"/>
      <c r="J14" s="206"/>
      <c r="K14" s="206"/>
    </row>
    <row r="15" spans="1:11" ht="7.5" customHeight="1">
      <c r="A15" s="87" t="s">
        <v>311</v>
      </c>
      <c r="B15" s="1023">
        <v>38356</v>
      </c>
      <c r="C15" s="1023">
        <v>24873</v>
      </c>
      <c r="D15" s="1023">
        <v>7087</v>
      </c>
      <c r="E15" s="1023">
        <v>11902</v>
      </c>
      <c r="F15" s="1023">
        <v>10658</v>
      </c>
      <c r="G15" s="1023">
        <v>92876</v>
      </c>
      <c r="H15" s="1024">
        <v>1370363</v>
      </c>
      <c r="I15" s="206"/>
      <c r="J15" s="206"/>
      <c r="K15" s="206"/>
    </row>
    <row r="16" spans="1:11" ht="7.5" customHeight="1">
      <c r="A16" s="87" t="s">
        <v>312</v>
      </c>
      <c r="B16" s="1023"/>
      <c r="C16" s="1023"/>
      <c r="D16" s="1023"/>
      <c r="E16" s="1023"/>
      <c r="F16" s="1023"/>
      <c r="G16" s="1023"/>
      <c r="H16" s="1024"/>
      <c r="I16" s="206"/>
      <c r="J16" s="206"/>
      <c r="K16" s="206"/>
    </row>
    <row r="17" spans="1:11" ht="7.5" customHeight="1">
      <c r="A17" s="160" t="s">
        <v>313</v>
      </c>
      <c r="B17" s="749">
        <v>66.9673584315361</v>
      </c>
      <c r="C17" s="749">
        <v>65.1911711494392</v>
      </c>
      <c r="D17" s="749">
        <v>64.0609566812473</v>
      </c>
      <c r="E17" s="749">
        <v>60.720887245841</v>
      </c>
      <c r="F17" s="749">
        <v>56.6898104710077</v>
      </c>
      <c r="G17" s="750">
        <v>64.2910978078298</v>
      </c>
      <c r="H17" s="751">
        <v>63.8311892542341</v>
      </c>
      <c r="J17" s="206"/>
      <c r="K17" s="206"/>
    </row>
    <row r="18" spans="1:11" ht="7.5" customHeight="1">
      <c r="A18" s="160" t="s">
        <v>314</v>
      </c>
      <c r="B18" s="749">
        <v>26.7076858900824</v>
      </c>
      <c r="C18" s="749">
        <v>27.6806175370884</v>
      </c>
      <c r="D18" s="749">
        <v>27.3035134753774</v>
      </c>
      <c r="E18" s="749">
        <v>29.1715678037305</v>
      </c>
      <c r="F18" s="749">
        <v>34.7157065115406</v>
      </c>
      <c r="G18" s="750">
        <v>28.2473405400749</v>
      </c>
      <c r="H18" s="751">
        <v>27.2714601897453</v>
      </c>
      <c r="I18" s="206"/>
      <c r="J18" s="206"/>
      <c r="K18" s="206"/>
    </row>
    <row r="19" spans="1:11" ht="7.5" customHeight="1">
      <c r="A19" s="160"/>
      <c r="B19" s="221"/>
      <c r="C19" s="221"/>
      <c r="D19" s="221"/>
      <c r="E19" s="221"/>
      <c r="F19" s="221"/>
      <c r="G19" s="222"/>
      <c r="H19" s="223"/>
      <c r="I19" s="206"/>
      <c r="J19" s="206"/>
      <c r="K19" s="206"/>
    </row>
    <row r="20" spans="1:12" ht="7.5" customHeight="1">
      <c r="A20" s="826" t="s">
        <v>865</v>
      </c>
      <c r="B20" s="805">
        <v>1504</v>
      </c>
      <c r="C20" s="805">
        <v>1475</v>
      </c>
      <c r="D20" s="805">
        <v>622</v>
      </c>
      <c r="E20" s="805">
        <v>453</v>
      </c>
      <c r="F20" s="805">
        <v>609</v>
      </c>
      <c r="G20" s="805">
        <f>SUM(B20:F20)</f>
        <v>4663</v>
      </c>
      <c r="H20" s="805">
        <v>45368</v>
      </c>
      <c r="I20" s="206"/>
      <c r="J20" s="206"/>
      <c r="K20" s="206"/>
      <c r="L20" s="206"/>
    </row>
    <row r="21" spans="1:11" ht="7.5" customHeight="1">
      <c r="A21" s="160" t="s">
        <v>246</v>
      </c>
      <c r="B21" s="271">
        <f>B20/'page 7 Démo'!B21*1000</f>
        <v>9.162016618338653</v>
      </c>
      <c r="C21" s="271">
        <f>C20/'page 7 Démo'!C21*1000</f>
        <v>14.434321391175002</v>
      </c>
      <c r="D21" s="271">
        <f>D20/'page 7 Démo'!D21*1000</f>
        <v>18.675313757280968</v>
      </c>
      <c r="E21" s="271">
        <f>E20/'page 7 Démo'!E21*1000</f>
        <v>7.002411426451493</v>
      </c>
      <c r="F21" s="271">
        <f>F20/'page 7 Démo'!F21*1000</f>
        <v>9.788478847884788</v>
      </c>
      <c r="G21" s="394">
        <f>G20/'page 7 Démo'!G21*1000</f>
        <v>10.931716042639085</v>
      </c>
      <c r="H21" s="271">
        <f>H20/'page 7 Démo'!H21*1000</f>
        <v>5.871769753319145</v>
      </c>
      <c r="I21" s="206"/>
      <c r="K21" s="206"/>
    </row>
    <row r="22" spans="1:11" ht="7.5" customHeight="1" thickBot="1">
      <c r="A22" s="843"/>
      <c r="B22" s="925"/>
      <c r="C22" s="925"/>
      <c r="D22" s="926"/>
      <c r="E22" s="926"/>
      <c r="F22" s="926"/>
      <c r="G22" s="926"/>
      <c r="H22" s="926"/>
      <c r="I22" s="206"/>
      <c r="J22" s="206"/>
      <c r="K22" s="206"/>
    </row>
    <row r="23" spans="1:11" ht="7.5" customHeight="1">
      <c r="A23" s="80" t="s">
        <v>741</v>
      </c>
      <c r="B23" s="25"/>
      <c r="C23" s="25"/>
      <c r="D23" s="25"/>
      <c r="E23" s="25"/>
      <c r="F23" s="25"/>
      <c r="G23" s="25"/>
      <c r="H23" s="31"/>
      <c r="I23" s="206"/>
      <c r="J23" s="206"/>
      <c r="K23" s="206"/>
    </row>
    <row r="24" spans="1:11" ht="7.5" customHeight="1">
      <c r="A24" s="105" t="s">
        <v>818</v>
      </c>
      <c r="B24" s="25"/>
      <c r="C24" s="25"/>
      <c r="D24" s="25"/>
      <c r="E24" s="25"/>
      <c r="F24" s="25"/>
      <c r="G24" s="25"/>
      <c r="H24" s="31"/>
      <c r="I24" s="206"/>
      <c r="J24" s="206"/>
      <c r="K24" s="206"/>
    </row>
    <row r="25" spans="1:8" ht="7.5" customHeight="1">
      <c r="A25" s="105" t="s">
        <v>646</v>
      </c>
      <c r="B25" s="94"/>
      <c r="C25" s="94"/>
      <c r="D25" s="94"/>
      <c r="E25" s="94"/>
      <c r="F25" s="94"/>
      <c r="G25" s="94"/>
      <c r="H25" s="94"/>
    </row>
    <row r="26" ht="7.5" customHeight="1"/>
    <row r="27" ht="7.5" customHeight="1"/>
    <row r="28" ht="7.5" customHeight="1">
      <c r="A28" s="286"/>
    </row>
    <row r="29" spans="1:8" ht="7.5" customHeight="1">
      <c r="A29" s="713" t="s">
        <v>31</v>
      </c>
      <c r="B29" s="714">
        <v>41645.54316300001</v>
      </c>
      <c r="C29" s="714">
        <v>25545.018252000005</v>
      </c>
      <c r="D29" s="714">
        <v>8060.563524</v>
      </c>
      <c r="E29" s="714">
        <v>15822.169454000003</v>
      </c>
      <c r="F29" s="714">
        <v>15337.139022</v>
      </c>
      <c r="G29" s="715">
        <f>SUM(B29:F29)</f>
        <v>106410.43341500002</v>
      </c>
      <c r="H29" s="716">
        <v>1940717.157318</v>
      </c>
    </row>
    <row r="30" spans="1:8" ht="7.5" customHeight="1">
      <c r="A30" s="713" t="s">
        <v>32</v>
      </c>
      <c r="B30" s="714">
        <v>40672.961868</v>
      </c>
      <c r="C30" s="714">
        <v>25442.396043</v>
      </c>
      <c r="D30" s="714">
        <v>7144.943122000002</v>
      </c>
      <c r="E30" s="714">
        <v>14929.973932</v>
      </c>
      <c r="F30" s="714">
        <v>14260.281593</v>
      </c>
      <c r="G30" s="715">
        <f>SUM(B30:F30)</f>
        <v>102450.55655799998</v>
      </c>
      <c r="H30" s="716">
        <v>1924304.313716</v>
      </c>
    </row>
    <row r="31" ht="7.5" customHeight="1"/>
    <row r="32" ht="7.5" customHeight="1">
      <c r="A32" s="286"/>
    </row>
    <row r="33" spans="1:8" ht="7.5" customHeight="1">
      <c r="A33" s="282"/>
      <c r="H33" s="72"/>
    </row>
    <row r="34" ht="7.5" customHeight="1"/>
    <row r="35" ht="7.5" customHeight="1">
      <c r="I35" s="285"/>
    </row>
    <row r="36" ht="7.5" customHeight="1"/>
    <row r="37" ht="9.75" customHeight="1">
      <c r="A37" s="72" t="s">
        <v>337</v>
      </c>
    </row>
  </sheetData>
  <sheetProtection/>
  <mergeCells count="9">
    <mergeCell ref="A2:H2"/>
    <mergeCell ref="A1:H1"/>
    <mergeCell ref="B15:B16"/>
    <mergeCell ref="C15:C16"/>
    <mergeCell ref="D15:D16"/>
    <mergeCell ref="E15:E16"/>
    <mergeCell ref="F15:F16"/>
    <mergeCell ref="G15:G16"/>
    <mergeCell ref="H15:H16"/>
  </mergeCells>
  <printOptions/>
  <pageMargins left="0.5905511811023623" right="0.5905511811023623" top="0.7874015748031497" bottom="0.7874015748031497" header="0.31496062992125984" footer="0.31496062992125984"/>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G24"/>
  <sheetViews>
    <sheetView zoomScale="140" zoomScaleNormal="140" zoomScalePageLayoutView="0" workbookViewId="0" topLeftCell="A1">
      <selection activeCell="A1" sqref="A1:C1"/>
    </sheetView>
  </sheetViews>
  <sheetFormatPr defaultColWidth="11.421875" defaultRowHeight="9.75" customHeight="1"/>
  <cols>
    <col min="1" max="1" width="29.7109375" style="72" customWidth="1"/>
    <col min="2" max="2" width="8.8515625" style="72" customWidth="1"/>
    <col min="3" max="3" width="10.8515625" style="72" customWidth="1"/>
    <col min="4" max="5" width="4.7109375" style="282" customWidth="1"/>
    <col min="6" max="6" width="27.28125" style="282" customWidth="1"/>
    <col min="7" max="7" width="11.421875" style="282" customWidth="1"/>
    <col min="8" max="16384" width="11.421875" style="72" customWidth="1"/>
  </cols>
  <sheetData>
    <row r="1" spans="1:3" ht="15" customHeight="1">
      <c r="A1" s="1000" t="s">
        <v>143</v>
      </c>
      <c r="B1" s="1000"/>
      <c r="C1" s="1000"/>
    </row>
    <row r="2" spans="1:7" s="65" customFormat="1" ht="9.75" customHeight="1">
      <c r="A2" s="1002" t="s">
        <v>742</v>
      </c>
      <c r="B2" s="1002"/>
      <c r="C2" s="1002"/>
      <c r="E2" s="378"/>
      <c r="F2" s="299"/>
      <c r="G2" s="299"/>
    </row>
    <row r="3" spans="1:2" ht="7.5" customHeight="1">
      <c r="A3" s="75"/>
      <c r="B3" s="76"/>
    </row>
    <row r="4" spans="1:7" s="76" customFormat="1" ht="19.5" customHeight="1">
      <c r="A4" s="77"/>
      <c r="B4" s="27" t="s">
        <v>532</v>
      </c>
      <c r="C4" s="107" t="s">
        <v>527</v>
      </c>
      <c r="D4" s="284"/>
      <c r="E4" s="284"/>
      <c r="F4" s="384"/>
      <c r="G4" s="284"/>
    </row>
    <row r="5" spans="1:3" ht="7.5" customHeight="1">
      <c r="A5" s="79"/>
      <c r="B5" s="27"/>
      <c r="C5" s="27"/>
    </row>
    <row r="6" spans="1:7" s="73" customFormat="1" ht="7.5" customHeight="1">
      <c r="A6" s="803" t="s">
        <v>147</v>
      </c>
      <c r="B6" s="872"/>
      <c r="C6" s="872"/>
      <c r="D6" s="286"/>
      <c r="E6" s="286"/>
      <c r="F6" s="286"/>
      <c r="G6" s="286"/>
    </row>
    <row r="7" spans="1:3" ht="7.5" customHeight="1">
      <c r="A7" s="72" t="s">
        <v>252</v>
      </c>
      <c r="B7" s="486">
        <v>34</v>
      </c>
      <c r="C7" s="484">
        <v>33</v>
      </c>
    </row>
    <row r="8" spans="1:3" ht="7.5" customHeight="1">
      <c r="A8" s="72" t="s">
        <v>253</v>
      </c>
      <c r="B8" s="486">
        <v>23</v>
      </c>
      <c r="C8" s="485">
        <v>15</v>
      </c>
    </row>
    <row r="9" spans="1:3" ht="7.5" customHeight="1">
      <c r="A9" s="72" t="s">
        <v>254</v>
      </c>
      <c r="B9" s="486">
        <v>7</v>
      </c>
      <c r="C9" s="484">
        <v>10</v>
      </c>
    </row>
    <row r="10" spans="1:3" ht="7.5" customHeight="1">
      <c r="A10" s="803" t="s">
        <v>148</v>
      </c>
      <c r="B10" s="873"/>
      <c r="C10" s="872"/>
    </row>
    <row r="11" spans="1:3" ht="7.5" customHeight="1">
      <c r="A11" s="72" t="s">
        <v>252</v>
      </c>
      <c r="B11" s="486">
        <v>29</v>
      </c>
      <c r="C11" s="484">
        <v>30</v>
      </c>
    </row>
    <row r="12" spans="1:3" ht="7.5" customHeight="1">
      <c r="A12" s="72" t="s">
        <v>253</v>
      </c>
      <c r="B12" s="486">
        <v>9</v>
      </c>
      <c r="C12" s="484">
        <v>6</v>
      </c>
    </row>
    <row r="13" spans="1:3" ht="7.5" customHeight="1">
      <c r="A13" s="72" t="s">
        <v>254</v>
      </c>
      <c r="B13" s="486">
        <v>1</v>
      </c>
      <c r="C13" s="484">
        <v>3</v>
      </c>
    </row>
    <row r="14" spans="2:3" ht="7.5" customHeight="1">
      <c r="B14" s="487"/>
      <c r="C14" s="188"/>
    </row>
    <row r="15" spans="1:3" ht="7.5" customHeight="1">
      <c r="A15" s="927" t="s">
        <v>934</v>
      </c>
      <c r="B15" s="928">
        <v>7.9</v>
      </c>
      <c r="C15" s="929">
        <v>10.5</v>
      </c>
    </row>
    <row r="16" spans="1:7" s="84" customFormat="1" ht="7.5" customHeight="1">
      <c r="A16" s="331"/>
      <c r="B16" s="198"/>
      <c r="C16" s="198"/>
      <c r="D16" s="206"/>
      <c r="E16" s="206"/>
      <c r="F16" s="206"/>
      <c r="G16" s="206"/>
    </row>
    <row r="17" spans="1:6" ht="7.5" customHeight="1">
      <c r="A17" s="927" t="s">
        <v>907</v>
      </c>
      <c r="B17" s="930">
        <v>593</v>
      </c>
      <c r="C17" s="931">
        <v>9404</v>
      </c>
      <c r="E17" s="206"/>
      <c r="F17" s="206"/>
    </row>
    <row r="18" spans="1:3" ht="7.5" customHeight="1">
      <c r="A18" s="105" t="s">
        <v>905</v>
      </c>
      <c r="B18" s="488">
        <v>205</v>
      </c>
      <c r="C18" s="451">
        <v>2983</v>
      </c>
    </row>
    <row r="19" spans="1:3" ht="7.5" customHeight="1">
      <c r="A19" s="105" t="s">
        <v>906</v>
      </c>
      <c r="B19" s="488">
        <v>102</v>
      </c>
      <c r="C19" s="451">
        <v>1489</v>
      </c>
    </row>
    <row r="20" spans="1:3" ht="7.5" customHeight="1" thickBot="1">
      <c r="A20" s="818"/>
      <c r="B20" s="837"/>
      <c r="C20" s="844"/>
    </row>
    <row r="21" ht="7.5" customHeight="1">
      <c r="A21" s="74" t="s">
        <v>286</v>
      </c>
    </row>
    <row r="22" ht="7.5" customHeight="1">
      <c r="A22" s="96" t="s">
        <v>255</v>
      </c>
    </row>
    <row r="23" ht="7.5" customHeight="1">
      <c r="A23" s="105" t="s">
        <v>256</v>
      </c>
    </row>
    <row r="24" spans="1:5" ht="7.5" customHeight="1">
      <c r="A24" s="105" t="s">
        <v>695</v>
      </c>
      <c r="C24" s="84"/>
      <c r="D24" s="206"/>
      <c r="E24" s="206"/>
    </row>
    <row r="25" ht="7.5" customHeight="1"/>
    <row r="26" ht="7.5" customHeight="1"/>
    <row r="27" ht="7.5" customHeight="1"/>
    <row r="28" ht="7.5" customHeight="1"/>
    <row r="29" ht="7.5" customHeight="1"/>
    <row r="30" ht="7.5" customHeight="1"/>
    <row r="31" ht="7.5" customHeight="1"/>
    <row r="32" ht="7.5" customHeight="1"/>
  </sheetData>
  <sheetProtection/>
  <mergeCells count="2">
    <mergeCell ref="A1:C1"/>
    <mergeCell ref="A2:C2"/>
  </mergeCells>
  <printOptions/>
  <pageMargins left="0.5905511811023623" right="0.5905511811023623" top="0.7874015748031497" bottom="0.7874015748031497" header="0.31496062992125984" footer="0.31496062992125984"/>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O31"/>
  <sheetViews>
    <sheetView zoomScale="140" zoomScaleNormal="140" zoomScalePageLayoutView="0" workbookViewId="0" topLeftCell="A1">
      <selection activeCell="A1" sqref="A1:H1"/>
    </sheetView>
  </sheetViews>
  <sheetFormatPr defaultColWidth="11.421875" defaultRowHeight="9.75" customHeight="1"/>
  <cols>
    <col min="1" max="1" width="24.7109375" style="72" customWidth="1"/>
    <col min="2" max="6" width="6.7109375" style="72" customWidth="1"/>
    <col min="7" max="7" width="6.8515625" style="72" customWidth="1"/>
    <col min="8" max="8" width="9.7109375" style="73" bestFit="1" customWidth="1"/>
    <col min="9" max="9" width="4.7109375" style="282" customWidth="1"/>
    <col min="10" max="10" width="5.57421875" style="282" bestFit="1" customWidth="1"/>
    <col min="11" max="11" width="27.28125" style="282" customWidth="1"/>
    <col min="12" max="12" width="11.421875" style="282" customWidth="1"/>
    <col min="13" max="16384" width="11.421875" style="72" customWidth="1"/>
  </cols>
  <sheetData>
    <row r="1" spans="1:13" ht="15" customHeight="1">
      <c r="A1" s="1000" t="s">
        <v>5</v>
      </c>
      <c r="B1" s="1000"/>
      <c r="C1" s="1000"/>
      <c r="D1" s="1000"/>
      <c r="E1" s="1000"/>
      <c r="F1" s="1000"/>
      <c r="G1" s="1000"/>
      <c r="H1" s="1000"/>
      <c r="I1" s="206"/>
      <c r="J1" s="206"/>
      <c r="K1" s="206"/>
      <c r="L1" s="206"/>
      <c r="M1" s="84"/>
    </row>
    <row r="2" spans="1:13" ht="9.75" customHeight="1">
      <c r="A2" s="1025" t="s">
        <v>908</v>
      </c>
      <c r="B2" s="1025"/>
      <c r="C2" s="1025"/>
      <c r="D2" s="1025"/>
      <c r="E2" s="1025"/>
      <c r="F2" s="1025"/>
      <c r="G2" s="1025"/>
      <c r="H2" s="1025"/>
      <c r="I2" s="206"/>
      <c r="J2" s="206"/>
      <c r="K2" s="206"/>
      <c r="L2" s="206"/>
      <c r="M2" s="84"/>
    </row>
    <row r="3" spans="1:13" ht="7.5" customHeight="1">
      <c r="A3" s="75"/>
      <c r="B3" s="76"/>
      <c r="I3" s="206"/>
      <c r="J3" s="206"/>
      <c r="K3" s="206"/>
      <c r="L3" s="206"/>
      <c r="M3" s="84"/>
    </row>
    <row r="4" spans="1:13" ht="19.5" customHeight="1">
      <c r="A4" s="77"/>
      <c r="B4" s="26" t="s">
        <v>521</v>
      </c>
      <c r="C4" s="26" t="s">
        <v>531</v>
      </c>
      <c r="D4" s="26" t="s">
        <v>523</v>
      </c>
      <c r="E4" s="26" t="s">
        <v>524</v>
      </c>
      <c r="F4" s="26" t="s">
        <v>525</v>
      </c>
      <c r="G4" s="27" t="s">
        <v>532</v>
      </c>
      <c r="H4" s="107" t="s">
        <v>535</v>
      </c>
      <c r="I4" s="206"/>
      <c r="J4" s="206"/>
      <c r="K4" s="206"/>
      <c r="L4" s="206"/>
      <c r="M4" s="84"/>
    </row>
    <row r="5" spans="1:13" ht="7.5" customHeight="1">
      <c r="A5" s="75"/>
      <c r="B5" s="76"/>
      <c r="G5" s="25"/>
      <c r="I5" s="206"/>
      <c r="J5" s="206"/>
      <c r="K5" s="206"/>
      <c r="L5" s="206"/>
      <c r="M5" s="84"/>
    </row>
    <row r="6" spans="1:13" ht="7.5" customHeight="1">
      <c r="A6" s="826" t="s">
        <v>248</v>
      </c>
      <c r="B6" s="932"/>
      <c r="C6" s="933"/>
      <c r="D6" s="933"/>
      <c r="E6" s="933"/>
      <c r="F6" s="933"/>
      <c r="G6" s="933"/>
      <c r="H6" s="836"/>
      <c r="I6" s="206"/>
      <c r="J6" s="206"/>
      <c r="K6" s="206"/>
      <c r="L6" s="206"/>
      <c r="M6" s="84"/>
    </row>
    <row r="7" spans="1:13" ht="7.5" customHeight="1">
      <c r="A7" s="23" t="s">
        <v>910</v>
      </c>
      <c r="H7" s="72"/>
      <c r="I7" s="72"/>
      <c r="J7" s="206"/>
      <c r="K7" s="206"/>
      <c r="L7" s="206"/>
      <c r="M7" s="84"/>
    </row>
    <row r="8" spans="1:13" ht="7.5" customHeight="1">
      <c r="A8" s="23" t="s">
        <v>911</v>
      </c>
      <c r="B8" s="737">
        <v>0.018272932836277</v>
      </c>
      <c r="C8" s="737">
        <v>0.0117902575240459</v>
      </c>
      <c r="D8" s="737">
        <v>0.00875752599890531</v>
      </c>
      <c r="E8" s="737">
        <v>0.0188624067846176</v>
      </c>
      <c r="F8" s="328">
        <v>0.0100584477368493</v>
      </c>
      <c r="G8" s="738" t="s">
        <v>324</v>
      </c>
      <c r="H8" s="719">
        <v>0.0186</v>
      </c>
      <c r="I8" s="206"/>
      <c r="J8" s="206"/>
      <c r="K8" s="206"/>
      <c r="L8" s="206"/>
      <c r="M8" s="84"/>
    </row>
    <row r="9" spans="1:13" ht="7.5" customHeight="1">
      <c r="A9" s="23" t="s">
        <v>247</v>
      </c>
      <c r="B9" s="489"/>
      <c r="C9" s="489"/>
      <c r="D9" s="489"/>
      <c r="E9" s="489"/>
      <c r="F9" s="489"/>
      <c r="G9" s="494"/>
      <c r="H9" s="490"/>
      <c r="I9" s="371"/>
      <c r="J9" s="206"/>
      <c r="K9" s="206"/>
      <c r="L9" s="206"/>
      <c r="M9" s="84"/>
    </row>
    <row r="10" spans="1:13" ht="7.5" customHeight="1">
      <c r="A10" s="23" t="s">
        <v>743</v>
      </c>
      <c r="B10" s="720">
        <v>0.071</v>
      </c>
      <c r="C10" s="720">
        <v>0.092</v>
      </c>
      <c r="D10" s="720">
        <v>0.091</v>
      </c>
      <c r="E10" s="720">
        <v>0.106</v>
      </c>
      <c r="F10" s="720">
        <v>0.084</v>
      </c>
      <c r="G10" s="718">
        <v>0.085</v>
      </c>
      <c r="H10" s="719">
        <v>0.091</v>
      </c>
      <c r="I10" s="371"/>
      <c r="J10" s="206"/>
      <c r="K10" s="206"/>
      <c r="L10" s="206"/>
      <c r="M10" s="84"/>
    </row>
    <row r="11" spans="1:13" ht="7.5" customHeight="1">
      <c r="A11" s="23"/>
      <c r="B11" s="86"/>
      <c r="C11" s="86"/>
      <c r="D11" s="86"/>
      <c r="E11" s="86"/>
      <c r="F11" s="86"/>
      <c r="G11" s="30"/>
      <c r="H11" s="192"/>
      <c r="I11" s="206"/>
      <c r="J11" s="206"/>
      <c r="K11" s="206"/>
      <c r="L11" s="206"/>
      <c r="M11" s="84"/>
    </row>
    <row r="12" spans="1:13" ht="7.5" customHeight="1">
      <c r="A12" s="826" t="s">
        <v>846</v>
      </c>
      <c r="B12" s="932"/>
      <c r="C12" s="933"/>
      <c r="D12" s="933"/>
      <c r="E12" s="933"/>
      <c r="F12" s="933"/>
      <c r="G12" s="933"/>
      <c r="H12" s="836"/>
      <c r="I12" s="692"/>
      <c r="J12" s="206"/>
      <c r="K12" s="206"/>
      <c r="L12" s="206"/>
      <c r="M12" s="84"/>
    </row>
    <row r="13" spans="1:13" ht="7.5" customHeight="1">
      <c r="A13" s="15" t="s">
        <v>258</v>
      </c>
      <c r="B13" s="717">
        <v>0.471</v>
      </c>
      <c r="C13" s="717">
        <v>0.395</v>
      </c>
      <c r="D13" s="717">
        <v>0.353</v>
      </c>
      <c r="E13" s="717">
        <v>0.353</v>
      </c>
      <c r="F13" s="717">
        <v>0.351</v>
      </c>
      <c r="G13" s="718">
        <v>0.406</v>
      </c>
      <c r="H13" s="719">
        <v>0.427</v>
      </c>
      <c r="I13" s="206"/>
      <c r="J13" s="206"/>
      <c r="K13" s="206"/>
      <c r="L13" s="206"/>
      <c r="M13" s="84"/>
    </row>
    <row r="14" spans="1:13" ht="7.5" customHeight="1">
      <c r="A14" s="23" t="s">
        <v>259</v>
      </c>
      <c r="B14" s="717">
        <v>0.146</v>
      </c>
      <c r="C14" s="717">
        <v>0.17</v>
      </c>
      <c r="D14" s="717">
        <v>0.155</v>
      </c>
      <c r="E14" s="717">
        <v>0.187</v>
      </c>
      <c r="F14" s="717">
        <v>0.146</v>
      </c>
      <c r="G14" s="718">
        <v>0.159</v>
      </c>
      <c r="H14" s="719">
        <v>0.208</v>
      </c>
      <c r="I14" s="206"/>
      <c r="J14" s="206"/>
      <c r="K14" s="206"/>
      <c r="L14" s="206"/>
      <c r="M14" s="84"/>
    </row>
    <row r="15" spans="1:13" ht="7.5" customHeight="1">
      <c r="A15" s="23"/>
      <c r="B15" s="489"/>
      <c r="C15" s="489"/>
      <c r="D15" s="489"/>
      <c r="E15" s="489"/>
      <c r="F15" s="489"/>
      <c r="G15" s="494"/>
      <c r="H15" s="490"/>
      <c r="I15" s="206"/>
      <c r="J15" s="206"/>
      <c r="K15" s="206"/>
      <c r="L15" s="206"/>
      <c r="M15" s="84"/>
    </row>
    <row r="16" spans="1:13" ht="7.5" customHeight="1">
      <c r="A16" s="826" t="s">
        <v>764</v>
      </c>
      <c r="B16" s="863">
        <v>10650</v>
      </c>
      <c r="C16" s="934">
        <v>7892</v>
      </c>
      <c r="D16" s="934">
        <v>2322</v>
      </c>
      <c r="E16" s="934">
        <v>3514</v>
      </c>
      <c r="F16" s="934">
        <v>5066</v>
      </c>
      <c r="G16" s="934">
        <f>SUM(B16:F16)</f>
        <v>29444</v>
      </c>
      <c r="H16" s="934">
        <v>444813</v>
      </c>
      <c r="I16" s="206"/>
      <c r="J16" s="206"/>
      <c r="K16" s="206"/>
      <c r="L16" s="206"/>
      <c r="M16" s="84"/>
    </row>
    <row r="17" spans="1:13" ht="7.5" customHeight="1">
      <c r="A17" s="23"/>
      <c r="B17" s="155"/>
      <c r="C17" s="155"/>
      <c r="D17" s="155"/>
      <c r="E17" s="155"/>
      <c r="F17" s="155"/>
      <c r="G17" s="156"/>
      <c r="H17" s="156"/>
      <c r="I17" s="206"/>
      <c r="J17" s="206"/>
      <c r="K17" s="206"/>
      <c r="L17" s="206"/>
      <c r="M17" s="84"/>
    </row>
    <row r="18" spans="1:13" ht="7.5" customHeight="1">
      <c r="A18" s="826" t="s">
        <v>744</v>
      </c>
      <c r="B18" s="906"/>
      <c r="C18" s="906"/>
      <c r="D18" s="906"/>
      <c r="E18" s="906"/>
      <c r="F18" s="906"/>
      <c r="G18" s="933"/>
      <c r="H18" s="830"/>
      <c r="I18" s="206"/>
      <c r="J18" s="206"/>
      <c r="K18" s="206"/>
      <c r="L18" s="206"/>
      <c r="M18" s="84"/>
    </row>
    <row r="19" spans="1:15" ht="7.5" customHeight="1">
      <c r="A19" s="84" t="s">
        <v>643</v>
      </c>
      <c r="B19" s="491">
        <v>6624</v>
      </c>
      <c r="C19" s="491">
        <v>3997</v>
      </c>
      <c r="D19" s="491">
        <v>1610</v>
      </c>
      <c r="E19" s="491">
        <v>2522</v>
      </c>
      <c r="F19" s="491">
        <v>3425</v>
      </c>
      <c r="G19" s="495">
        <f>SUM(B19:F19)</f>
        <v>18178</v>
      </c>
      <c r="H19" s="470">
        <v>293732</v>
      </c>
      <c r="I19" s="206"/>
      <c r="J19" s="398"/>
      <c r="K19" s="206"/>
      <c r="L19" s="206"/>
      <c r="M19" s="84"/>
      <c r="N19" s="84"/>
      <c r="O19" s="84"/>
    </row>
    <row r="20" spans="1:15" ht="7.5" customHeight="1">
      <c r="A20" s="84" t="s">
        <v>644</v>
      </c>
      <c r="B20" s="491">
        <v>746</v>
      </c>
      <c r="C20" s="491">
        <v>557</v>
      </c>
      <c r="D20" s="491">
        <v>167</v>
      </c>
      <c r="E20" s="491">
        <v>512</v>
      </c>
      <c r="F20" s="491">
        <v>398</v>
      </c>
      <c r="G20" s="495">
        <f>SUM(B20:F20)</f>
        <v>2380</v>
      </c>
      <c r="H20" s="470">
        <v>58670</v>
      </c>
      <c r="I20" s="206"/>
      <c r="J20" s="206"/>
      <c r="K20" s="206"/>
      <c r="L20" s="206"/>
      <c r="M20" s="84"/>
      <c r="N20" s="84"/>
      <c r="O20" s="84"/>
    </row>
    <row r="21" spans="1:15" ht="7.5" customHeight="1">
      <c r="A21" s="84" t="s">
        <v>645</v>
      </c>
      <c r="B21" s="492">
        <v>177</v>
      </c>
      <c r="C21" s="492">
        <v>118</v>
      </c>
      <c r="D21" s="492">
        <v>35</v>
      </c>
      <c r="E21" s="492">
        <v>104</v>
      </c>
      <c r="F21" s="492">
        <v>74</v>
      </c>
      <c r="G21" s="495">
        <f>SUM(B21:F21)</f>
        <v>508</v>
      </c>
      <c r="H21" s="470">
        <v>16933</v>
      </c>
      <c r="I21" s="206"/>
      <c r="J21" s="206"/>
      <c r="K21" s="206"/>
      <c r="L21" s="206"/>
      <c r="M21" s="84"/>
      <c r="N21" s="84"/>
      <c r="O21" s="84"/>
    </row>
    <row r="22" spans="1:13" ht="7.5" customHeight="1">
      <c r="A22" s="84" t="s">
        <v>6</v>
      </c>
      <c r="B22" s="491">
        <v>3073</v>
      </c>
      <c r="C22" s="491">
        <v>1310</v>
      </c>
      <c r="D22" s="491">
        <v>470</v>
      </c>
      <c r="E22" s="491">
        <v>1098</v>
      </c>
      <c r="F22" s="491">
        <v>871</v>
      </c>
      <c r="G22" s="495">
        <f>SUM(B22:F22)</f>
        <v>6822</v>
      </c>
      <c r="H22" s="454">
        <v>121111</v>
      </c>
      <c r="I22" s="206"/>
      <c r="J22" s="206"/>
      <c r="K22" s="206"/>
      <c r="L22" s="206"/>
      <c r="M22" s="84"/>
    </row>
    <row r="23" spans="1:13" ht="7.5" customHeight="1" thickBot="1">
      <c r="A23" s="935"/>
      <c r="B23" s="936"/>
      <c r="C23" s="936"/>
      <c r="D23" s="936"/>
      <c r="E23" s="936"/>
      <c r="F23" s="936"/>
      <c r="G23" s="937"/>
      <c r="H23" s="937"/>
      <c r="I23" s="206"/>
      <c r="J23" s="206"/>
      <c r="K23" s="206"/>
      <c r="L23" s="206"/>
      <c r="M23" s="84"/>
    </row>
    <row r="24" spans="1:13" ht="7.5" customHeight="1">
      <c r="A24" s="80" t="s">
        <v>820</v>
      </c>
      <c r="I24" s="206"/>
      <c r="J24" s="206"/>
      <c r="K24" s="206"/>
      <c r="L24" s="206"/>
      <c r="M24" s="84"/>
    </row>
    <row r="25" spans="1:13" ht="7.5" customHeight="1">
      <c r="A25" s="160" t="s">
        <v>257</v>
      </c>
      <c r="B25" s="105" t="s">
        <v>909</v>
      </c>
      <c r="I25" s="206"/>
      <c r="J25" s="206"/>
      <c r="K25" s="206"/>
      <c r="L25" s="206"/>
      <c r="M25" s="84"/>
    </row>
    <row r="26" spans="1:13" ht="7.5" customHeight="1">
      <c r="A26" s="105" t="s">
        <v>33</v>
      </c>
      <c r="E26" s="105" t="s">
        <v>34</v>
      </c>
      <c r="I26" s="206"/>
      <c r="J26" s="206"/>
      <c r="K26" s="206"/>
      <c r="L26" s="206"/>
      <c r="M26" s="84"/>
    </row>
    <row r="27" spans="9:13" ht="7.5" customHeight="1">
      <c r="I27" s="206"/>
      <c r="J27" s="206"/>
      <c r="K27" s="206"/>
      <c r="L27" s="206"/>
      <c r="M27" s="84"/>
    </row>
    <row r="28" spans="9:13" ht="7.5" customHeight="1">
      <c r="I28" s="206"/>
      <c r="J28" s="206"/>
      <c r="K28" s="206"/>
      <c r="L28" s="206"/>
      <c r="M28" s="84"/>
    </row>
    <row r="29" spans="9:13" ht="7.5" customHeight="1">
      <c r="I29" s="206"/>
      <c r="J29" s="206"/>
      <c r="K29" s="206"/>
      <c r="L29" s="206"/>
      <c r="M29" s="84"/>
    </row>
    <row r="30" spans="9:13" ht="7.5" customHeight="1">
      <c r="I30" s="206"/>
      <c r="J30" s="206"/>
      <c r="K30" s="206"/>
      <c r="L30" s="206"/>
      <c r="M30" s="84"/>
    </row>
    <row r="31" spans="9:13" ht="7.5" customHeight="1">
      <c r="I31" s="206"/>
      <c r="J31" s="206"/>
      <c r="K31" s="206"/>
      <c r="L31" s="206"/>
      <c r="M31" s="84"/>
    </row>
    <row r="32" ht="7.5" customHeight="1"/>
    <row r="33" ht="7.5" customHeight="1"/>
    <row r="34" ht="7.5" customHeight="1"/>
    <row r="35" ht="7.5" customHeight="1"/>
    <row r="36" ht="7.5" customHeight="1"/>
  </sheetData>
  <sheetProtection/>
  <mergeCells count="2">
    <mergeCell ref="A1:H1"/>
    <mergeCell ref="A2:H2"/>
  </mergeCells>
  <printOptions/>
  <pageMargins left="0.5905511811023623" right="0.5905511811023623" top="0.7874015748031497" bottom="0.7874015748031497" header="0.31496062992125984" footer="0.31496062992125984"/>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K24"/>
  <sheetViews>
    <sheetView zoomScale="140" zoomScaleNormal="140" zoomScalePageLayoutView="0" workbookViewId="0" topLeftCell="A1">
      <selection activeCell="A1" sqref="A1:H1"/>
    </sheetView>
  </sheetViews>
  <sheetFormatPr defaultColWidth="11.421875" defaultRowHeight="9.75" customHeight="1"/>
  <cols>
    <col min="1" max="1" width="23.7109375" style="72" customWidth="1"/>
    <col min="2" max="6" width="6.7109375" style="72" customWidth="1"/>
    <col min="7" max="7" width="6.8515625" style="72" customWidth="1"/>
    <col min="8" max="8" width="9.57421875" style="73" customWidth="1"/>
    <col min="9" max="9" width="4.7109375" style="725" customWidth="1"/>
    <col min="10" max="10" width="4.7109375" style="282" customWidth="1"/>
    <col min="11" max="11" width="27.28125" style="282" customWidth="1"/>
    <col min="12" max="12" width="11.421875" style="282" customWidth="1"/>
    <col min="13" max="16384" width="11.421875" style="72" customWidth="1"/>
  </cols>
  <sheetData>
    <row r="1" spans="1:8" ht="15" customHeight="1">
      <c r="A1" s="1000" t="s">
        <v>377</v>
      </c>
      <c r="B1" s="1000"/>
      <c r="C1" s="1000"/>
      <c r="D1" s="1000"/>
      <c r="E1" s="1000"/>
      <c r="F1" s="1000"/>
      <c r="G1" s="1000"/>
      <c r="H1" s="1000"/>
    </row>
    <row r="2" spans="1:8" ht="9.75" customHeight="1">
      <c r="A2" s="1002" t="s">
        <v>745</v>
      </c>
      <c r="B2" s="1002"/>
      <c r="C2" s="1002"/>
      <c r="D2" s="1002"/>
      <c r="E2" s="1002"/>
      <c r="F2" s="1002"/>
      <c r="G2" s="1002"/>
      <c r="H2" s="1002"/>
    </row>
    <row r="3" spans="1:2" ht="7.5" customHeight="1">
      <c r="A3" s="75"/>
      <c r="B3" s="76"/>
    </row>
    <row r="4" spans="1:8" ht="19.5" customHeight="1">
      <c r="A4" s="77"/>
      <c r="B4" s="26" t="s">
        <v>521</v>
      </c>
      <c r="C4" s="26" t="s">
        <v>531</v>
      </c>
      <c r="D4" s="26" t="s">
        <v>523</v>
      </c>
      <c r="E4" s="26" t="s">
        <v>524</v>
      </c>
      <c r="F4" s="26" t="s">
        <v>525</v>
      </c>
      <c r="G4" s="27" t="s">
        <v>532</v>
      </c>
      <c r="H4" s="107" t="s">
        <v>527</v>
      </c>
    </row>
    <row r="5" spans="1:8" ht="7.5" customHeight="1">
      <c r="A5" s="329"/>
      <c r="B5" s="207"/>
      <c r="C5" s="84"/>
      <c r="D5" s="84"/>
      <c r="E5" s="84"/>
      <c r="F5" s="84"/>
      <c r="G5" s="15"/>
      <c r="H5" s="85"/>
    </row>
    <row r="6" spans="1:11" ht="7.5" customHeight="1">
      <c r="A6" s="830" t="s">
        <v>368</v>
      </c>
      <c r="B6" s="938">
        <v>40491</v>
      </c>
      <c r="C6" s="938">
        <v>25542</v>
      </c>
      <c r="D6" s="938">
        <v>8823</v>
      </c>
      <c r="E6" s="938">
        <v>16845</v>
      </c>
      <c r="F6" s="938">
        <v>16736</v>
      </c>
      <c r="G6" s="865">
        <f>SUM(B6:F6)</f>
        <v>108437</v>
      </c>
      <c r="H6" s="869">
        <v>1877126</v>
      </c>
      <c r="K6" s="206"/>
    </row>
    <row r="7" spans="1:8" ht="7.5" customHeight="1">
      <c r="A7" s="411" t="s">
        <v>66</v>
      </c>
      <c r="B7" s="489">
        <v>83.09227193780383</v>
      </c>
      <c r="C7" s="489">
        <v>81.19918365301452</v>
      </c>
      <c r="D7" s="489">
        <v>80.69918734351894</v>
      </c>
      <c r="E7" s="489">
        <v>79.13999881843125</v>
      </c>
      <c r="F7" s="489">
        <v>80.21882169205307</v>
      </c>
      <c r="G7" s="494">
        <v>81.39693851608119</v>
      </c>
      <c r="H7" s="490">
        <v>81.81410183046802</v>
      </c>
    </row>
    <row r="8" spans="1:8" ht="7.5" customHeight="1">
      <c r="A8" s="411" t="s">
        <v>7</v>
      </c>
      <c r="B8" s="496">
        <v>10.588897856454794</v>
      </c>
      <c r="C8" s="496">
        <v>11.472692954839404</v>
      </c>
      <c r="D8" s="496">
        <v>12.624515216712313</v>
      </c>
      <c r="E8" s="496">
        <v>12.2053071311299</v>
      </c>
      <c r="F8" s="496">
        <v>13.005087855153224</v>
      </c>
      <c r="G8" s="494">
        <v>11.582427262684435</v>
      </c>
      <c r="H8" s="490">
        <v>9.793812064599063</v>
      </c>
    </row>
    <row r="9" spans="1:10" ht="7.5" customHeight="1">
      <c r="A9" s="411" t="s">
        <v>8</v>
      </c>
      <c r="B9" s="636">
        <f>1712/B6*100</f>
        <v>4.2281000716208545</v>
      </c>
      <c r="C9" s="636">
        <f>1280/C6*100</f>
        <v>5.011353848563151</v>
      </c>
      <c r="D9" s="636">
        <f>420/D6*100</f>
        <v>4.760285617137028</v>
      </c>
      <c r="E9" s="636">
        <f>1008/E6*100</f>
        <v>5.983971504897596</v>
      </c>
      <c r="F9" s="636">
        <f>774/F6*100</f>
        <v>4.624760994263863</v>
      </c>
      <c r="G9" s="638">
        <f>5194/G6*100</f>
        <v>4.789877993673746</v>
      </c>
      <c r="H9" s="636">
        <f>100374/H6*100</f>
        <v>5.347216968919508</v>
      </c>
      <c r="I9" s="692"/>
      <c r="J9" s="206"/>
    </row>
    <row r="10" spans="1:10" ht="7.5" customHeight="1">
      <c r="A10" s="836" t="s">
        <v>369</v>
      </c>
      <c r="B10" s="938">
        <v>42819</v>
      </c>
      <c r="C10" s="938">
        <v>25943</v>
      </c>
      <c r="D10" s="938">
        <v>9961</v>
      </c>
      <c r="E10" s="938">
        <v>17505</v>
      </c>
      <c r="F10" s="938">
        <v>17944</v>
      </c>
      <c r="G10" s="865">
        <f>SUM(B10:F10)</f>
        <v>114172</v>
      </c>
      <c r="H10" s="869">
        <v>1965272</v>
      </c>
      <c r="I10" s="692"/>
      <c r="J10" s="206"/>
    </row>
    <row r="11" spans="1:10" ht="7.5" customHeight="1">
      <c r="A11" s="411" t="s">
        <v>67</v>
      </c>
      <c r="B11" s="497">
        <v>74.03019366303427</v>
      </c>
      <c r="C11" s="497">
        <v>68.19197359327697</v>
      </c>
      <c r="D11" s="497">
        <v>69.13064023423333</v>
      </c>
      <c r="E11" s="497">
        <v>68.90845804199449</v>
      </c>
      <c r="F11" s="497">
        <v>63.90549817159914</v>
      </c>
      <c r="G11" s="494">
        <v>69.86141340688519</v>
      </c>
      <c r="H11" s="490">
        <v>73.8816896100705</v>
      </c>
      <c r="I11" s="692"/>
      <c r="J11" s="206"/>
    </row>
    <row r="12" spans="1:10" ht="7.5" customHeight="1">
      <c r="A12" s="411" t="s">
        <v>7</v>
      </c>
      <c r="B12" s="497">
        <v>18.853904909625673</v>
      </c>
      <c r="C12" s="497">
        <v>23.8385548502645</v>
      </c>
      <c r="D12" s="497">
        <v>23.92624201824205</v>
      </c>
      <c r="E12" s="497">
        <v>22.11539583332948</v>
      </c>
      <c r="F12" s="497">
        <v>28.46408695271795</v>
      </c>
      <c r="G12" s="494">
        <v>22.465812337269885</v>
      </c>
      <c r="H12" s="490">
        <v>16.740600857600697</v>
      </c>
      <c r="I12" s="692"/>
      <c r="J12" s="206"/>
    </row>
    <row r="13" spans="1:10" ht="7.5" customHeight="1">
      <c r="A13" s="411" t="s">
        <v>8</v>
      </c>
      <c r="B13" s="633">
        <f>2135/B10*100</f>
        <v>4.986104299493216</v>
      </c>
      <c r="C13" s="633">
        <f>1466/C10*100</f>
        <v>5.650849940253632</v>
      </c>
      <c r="D13" s="633">
        <f>481/D10*100</f>
        <v>4.828832446541512</v>
      </c>
      <c r="E13" s="633">
        <f>1134/E10*100</f>
        <v>6.478149100257069</v>
      </c>
      <c r="F13" s="633">
        <f>975/F10*100</f>
        <v>5.433571110120374</v>
      </c>
      <c r="G13" s="634">
        <f>6191/G10*100</f>
        <v>5.422520407805767</v>
      </c>
      <c r="H13" s="635">
        <f>123094/H10*100</f>
        <v>6.263458696811433</v>
      </c>
      <c r="I13" s="692"/>
      <c r="J13" s="206"/>
    </row>
    <row r="14" spans="1:10" ht="7.5" customHeight="1">
      <c r="A14" s="836" t="s">
        <v>370</v>
      </c>
      <c r="B14" s="938">
        <v>40328</v>
      </c>
      <c r="C14" s="938">
        <v>25821</v>
      </c>
      <c r="D14" s="938">
        <v>7224</v>
      </c>
      <c r="E14" s="938">
        <v>15268</v>
      </c>
      <c r="F14" s="938">
        <v>13917</v>
      </c>
      <c r="G14" s="865">
        <f>SUM(B14:F14)</f>
        <v>102558</v>
      </c>
      <c r="H14" s="869">
        <v>1924272</v>
      </c>
      <c r="I14" s="692"/>
      <c r="J14" s="206"/>
    </row>
    <row r="15" spans="1:10" ht="7.5" customHeight="1">
      <c r="A15" s="411" t="s">
        <v>66</v>
      </c>
      <c r="B15" s="497">
        <v>27.5</v>
      </c>
      <c r="C15" s="497">
        <v>23.6</v>
      </c>
      <c r="D15" s="497">
        <v>16</v>
      </c>
      <c r="E15" s="497">
        <v>19.6</v>
      </c>
      <c r="F15" s="497">
        <v>9.3</v>
      </c>
      <c r="G15" s="494">
        <v>22</v>
      </c>
      <c r="H15" s="490">
        <v>23.9</v>
      </c>
      <c r="I15" s="692"/>
      <c r="J15" s="206"/>
    </row>
    <row r="16" spans="1:10" ht="7.5" customHeight="1">
      <c r="A16" s="411" t="s">
        <v>7</v>
      </c>
      <c r="B16" s="497">
        <v>51.7</v>
      </c>
      <c r="C16" s="497">
        <v>50.8</v>
      </c>
      <c r="D16" s="497">
        <v>65</v>
      </c>
      <c r="E16" s="497">
        <v>55.6</v>
      </c>
      <c r="F16" s="497">
        <v>62.8</v>
      </c>
      <c r="G16" s="494">
        <v>54.5</v>
      </c>
      <c r="H16" s="490">
        <v>49.4</v>
      </c>
      <c r="I16" s="692"/>
      <c r="J16" s="206"/>
    </row>
    <row r="17" spans="1:10" ht="7.5" customHeight="1">
      <c r="A17" s="411" t="s">
        <v>8</v>
      </c>
      <c r="B17" s="636">
        <f>5370/B14*100</f>
        <v>13.315810355088276</v>
      </c>
      <c r="C17" s="636">
        <f>3603/C14*100</f>
        <v>13.953758568606947</v>
      </c>
      <c r="D17" s="636">
        <f>1016/D14*100</f>
        <v>14.06423034330011</v>
      </c>
      <c r="E17" s="636">
        <f>2821/E14*100</f>
        <v>18.476552266177627</v>
      </c>
      <c r="F17" s="636">
        <f>2645/F14*100</f>
        <v>19.005532801609544</v>
      </c>
      <c r="G17" s="638">
        <f>15455/G14*100</f>
        <v>15.069521636537376</v>
      </c>
      <c r="H17" s="636">
        <f>296628/H14*100</f>
        <v>15.415076454887874</v>
      </c>
      <c r="I17" s="692"/>
      <c r="J17" s="206"/>
    </row>
    <row r="18" spans="1:10" ht="7.5" customHeight="1">
      <c r="A18" s="836" t="s">
        <v>371</v>
      </c>
      <c r="B18" s="938">
        <v>41186</v>
      </c>
      <c r="C18" s="938">
        <v>25808</v>
      </c>
      <c r="D18" s="938">
        <v>8191</v>
      </c>
      <c r="E18" s="938">
        <v>16273</v>
      </c>
      <c r="F18" s="938">
        <v>15141</v>
      </c>
      <c r="G18" s="865">
        <f>SUM(B18:F18)</f>
        <v>106599</v>
      </c>
      <c r="H18" s="869">
        <v>1955225</v>
      </c>
      <c r="I18" s="692"/>
      <c r="J18" s="206"/>
    </row>
    <row r="19" spans="1:10" ht="7.5" customHeight="1">
      <c r="A19" s="411" t="s">
        <v>67</v>
      </c>
      <c r="B19" s="497">
        <v>26.8</v>
      </c>
      <c r="C19" s="497">
        <v>23.5</v>
      </c>
      <c r="D19" s="497">
        <v>14.2</v>
      </c>
      <c r="E19" s="497">
        <v>18.5</v>
      </c>
      <c r="F19" s="497">
        <v>8.7</v>
      </c>
      <c r="G19" s="494">
        <v>21.2</v>
      </c>
      <c r="H19" s="490">
        <v>23.7</v>
      </c>
      <c r="I19" s="692"/>
      <c r="J19" s="206"/>
    </row>
    <row r="20" spans="1:10" ht="7.5" customHeight="1">
      <c r="A20" s="411" t="s">
        <v>7</v>
      </c>
      <c r="B20" s="498">
        <v>50.5</v>
      </c>
      <c r="C20" s="498">
        <v>50.6</v>
      </c>
      <c r="D20" s="498">
        <v>57.7</v>
      </c>
      <c r="E20" s="498">
        <v>52.5</v>
      </c>
      <c r="F20" s="498">
        <v>58.3</v>
      </c>
      <c r="G20" s="493">
        <v>52.5</v>
      </c>
      <c r="H20" s="490">
        <v>48.9</v>
      </c>
      <c r="I20" s="692"/>
      <c r="J20" s="206"/>
    </row>
    <row r="21" spans="1:10" ht="7.5" customHeight="1">
      <c r="A21" s="411" t="s">
        <v>8</v>
      </c>
      <c r="B21" s="633">
        <f>5464/B18*100</f>
        <v>13.266644005244501</v>
      </c>
      <c r="C21" s="115">
        <f>3522/C18*100</f>
        <v>13.646931184128952</v>
      </c>
      <c r="D21" s="633">
        <f>1112/D18*100</f>
        <v>13.575875961421072</v>
      </c>
      <c r="E21" s="633">
        <f>2637/E18*100</f>
        <v>16.20475634486573</v>
      </c>
      <c r="F21" s="633">
        <f>2216/F18*100</f>
        <v>14.63575721550756</v>
      </c>
      <c r="G21" s="634">
        <f>14951/G18*100</f>
        <v>14.025459901124776</v>
      </c>
      <c r="H21" s="637">
        <f>320187/H18*100</f>
        <v>16.37596696032426</v>
      </c>
      <c r="I21" s="692"/>
      <c r="J21" s="206"/>
    </row>
    <row r="22" spans="1:8" ht="7.5" customHeight="1" thickBot="1">
      <c r="A22" s="843"/>
      <c r="B22" s="925"/>
      <c r="C22" s="925"/>
      <c r="D22" s="926"/>
      <c r="E22" s="926"/>
      <c r="F22" s="926"/>
      <c r="G22" s="926"/>
      <c r="H22" s="926"/>
    </row>
    <row r="23" spans="1:7" ht="7.5" customHeight="1">
      <c r="A23" s="80" t="s">
        <v>746</v>
      </c>
      <c r="B23" s="25"/>
      <c r="C23" s="25"/>
      <c r="D23" s="25"/>
      <c r="E23" s="25"/>
      <c r="F23" s="25"/>
      <c r="G23" s="25"/>
    </row>
    <row r="24" ht="7.5" customHeight="1">
      <c r="A24" s="269"/>
    </row>
    <row r="25" ht="7.5" customHeight="1"/>
    <row r="26" ht="7.5" customHeight="1"/>
    <row r="27" ht="7.5" customHeight="1"/>
    <row r="28" ht="7.5" customHeight="1"/>
    <row r="29" ht="7.5" customHeight="1"/>
    <row r="30" ht="7.5" customHeight="1"/>
    <row r="31" ht="7.5" customHeight="1"/>
    <row r="32" ht="7.5" customHeight="1"/>
    <row r="33" ht="7.5" customHeight="1"/>
    <row r="34" ht="7.5" customHeight="1"/>
    <row r="35" ht="7.5" customHeight="1"/>
    <row r="36" ht="7.5" customHeight="1"/>
  </sheetData>
  <sheetProtection/>
  <mergeCells count="2">
    <mergeCell ref="A2:H2"/>
    <mergeCell ref="A1:H1"/>
  </mergeCells>
  <printOptions/>
  <pageMargins left="0.5905511811023623" right="0.5905511811023623" top="0.7874015748031497" bottom="0.7874015748031497" header="0.31496062992125984" footer="0.31496062992125984"/>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Q31"/>
  <sheetViews>
    <sheetView zoomScale="140" zoomScaleNormal="140" zoomScalePageLayoutView="0" workbookViewId="0" topLeftCell="A1">
      <selection activeCell="A1" sqref="A1:H1"/>
    </sheetView>
  </sheetViews>
  <sheetFormatPr defaultColWidth="11.421875" defaultRowHeight="15"/>
  <cols>
    <col min="1" max="1" width="23.7109375" style="0" customWidth="1"/>
    <col min="2" max="6" width="6.7109375" style="0" customWidth="1"/>
    <col min="7" max="7" width="6.8515625" style="0" customWidth="1"/>
    <col min="8" max="8" width="9.57421875" style="0" customWidth="1"/>
    <col min="13" max="13" width="15.7109375" style="0" customWidth="1"/>
  </cols>
  <sheetData>
    <row r="1" spans="1:12" s="72" customFormat="1" ht="15" customHeight="1">
      <c r="A1" s="1000" t="s">
        <v>819</v>
      </c>
      <c r="B1" s="1000"/>
      <c r="C1" s="1000"/>
      <c r="D1" s="1000"/>
      <c r="E1" s="1000"/>
      <c r="F1" s="1000"/>
      <c r="G1" s="1000"/>
      <c r="H1" s="1000"/>
      <c r="I1" s="758"/>
      <c r="J1" s="282"/>
      <c r="K1" s="282"/>
      <c r="L1" s="282"/>
    </row>
    <row r="2" spans="1:12" s="72" customFormat="1" ht="9.75" customHeight="1">
      <c r="A2" s="1002" t="s">
        <v>912</v>
      </c>
      <c r="B2" s="1002"/>
      <c r="C2" s="1002"/>
      <c r="D2" s="1002"/>
      <c r="E2" s="1002"/>
      <c r="F2" s="1002"/>
      <c r="G2" s="1002"/>
      <c r="H2" s="1002"/>
      <c r="I2" s="725"/>
      <c r="J2" s="282"/>
      <c r="K2" s="282"/>
      <c r="L2" s="282"/>
    </row>
    <row r="3" spans="1:12" s="72" customFormat="1" ht="7.5" customHeight="1">
      <c r="A3" s="75"/>
      <c r="B3" s="76"/>
      <c r="H3" s="73"/>
      <c r="I3" s="725"/>
      <c r="J3" s="282"/>
      <c r="K3" s="282"/>
      <c r="L3" s="282"/>
    </row>
    <row r="4" spans="1:12" s="72" customFormat="1" ht="19.5" customHeight="1">
      <c r="A4" s="77"/>
      <c r="B4" s="26" t="s">
        <v>521</v>
      </c>
      <c r="C4" s="26" t="s">
        <v>531</v>
      </c>
      <c r="D4" s="26" t="s">
        <v>523</v>
      </c>
      <c r="E4" s="26" t="s">
        <v>524</v>
      </c>
      <c r="F4" s="26" t="s">
        <v>525</v>
      </c>
      <c r="G4" s="27" t="s">
        <v>532</v>
      </c>
      <c r="H4" s="107" t="s">
        <v>527</v>
      </c>
      <c r="I4" s="725"/>
      <c r="J4" s="282"/>
      <c r="K4" s="282"/>
      <c r="L4" s="282"/>
    </row>
    <row r="5" spans="1:12" s="72" customFormat="1" ht="7.5" customHeight="1">
      <c r="A5" s="329"/>
      <c r="B5" s="207"/>
      <c r="C5" s="84"/>
      <c r="D5" s="84"/>
      <c r="E5" s="84"/>
      <c r="F5" s="84"/>
      <c r="G5" s="15"/>
      <c r="H5" s="85"/>
      <c r="I5" s="725"/>
      <c r="J5" s="282"/>
      <c r="K5" s="282"/>
      <c r="L5" s="282"/>
    </row>
    <row r="6" spans="1:14" s="72" customFormat="1" ht="7.5" customHeight="1">
      <c r="A6" s="120" t="s">
        <v>824</v>
      </c>
      <c r="B6" s="491">
        <v>336</v>
      </c>
      <c r="C6" s="491">
        <v>229</v>
      </c>
      <c r="D6" s="491">
        <v>57</v>
      </c>
      <c r="E6" s="491">
        <v>180</v>
      </c>
      <c r="F6" s="491">
        <v>91</v>
      </c>
      <c r="G6" s="495">
        <f>SUM(B6:F6)</f>
        <v>893</v>
      </c>
      <c r="H6" s="454">
        <v>17365</v>
      </c>
      <c r="I6" s="85"/>
      <c r="J6" s="206"/>
      <c r="K6" s="206"/>
      <c r="L6" s="206"/>
      <c r="M6" s="84"/>
      <c r="N6" s="692"/>
    </row>
    <row r="7" spans="1:13" s="72" customFormat="1" ht="7.5" customHeight="1">
      <c r="A7" s="84" t="s">
        <v>825</v>
      </c>
      <c r="B7" s="491">
        <v>8</v>
      </c>
      <c r="C7" s="491">
        <v>5</v>
      </c>
      <c r="D7" s="491">
        <v>20</v>
      </c>
      <c r="E7" s="491">
        <v>4</v>
      </c>
      <c r="F7" s="491">
        <v>5</v>
      </c>
      <c r="G7" s="495">
        <f>SUM(B7:F7)</f>
        <v>42</v>
      </c>
      <c r="H7" s="673" t="s">
        <v>324</v>
      </c>
      <c r="I7" s="692"/>
      <c r="J7" s="692"/>
      <c r="K7" s="692"/>
      <c r="L7" s="206"/>
      <c r="M7" s="84"/>
    </row>
    <row r="8" spans="1:12" s="72" customFormat="1" ht="7.5" customHeight="1">
      <c r="A8" s="411"/>
      <c r="B8" s="636"/>
      <c r="C8" s="636"/>
      <c r="D8" s="636"/>
      <c r="E8" s="636"/>
      <c r="F8" s="636"/>
      <c r="G8" s="638"/>
      <c r="H8" s="636"/>
      <c r="I8" s="692"/>
      <c r="J8" s="206"/>
      <c r="K8" s="282"/>
      <c r="L8" s="282"/>
    </row>
    <row r="9" spans="1:12" s="72" customFormat="1" ht="7.5" customHeight="1">
      <c r="A9" s="836" t="s">
        <v>821</v>
      </c>
      <c r="B9" s="836"/>
      <c r="C9" s="836"/>
      <c r="D9" s="836"/>
      <c r="E9" s="836"/>
      <c r="F9" s="836"/>
      <c r="G9" s="836"/>
      <c r="H9" s="836"/>
      <c r="I9" s="692"/>
      <c r="J9" s="206"/>
      <c r="K9" s="282"/>
      <c r="L9" s="282"/>
    </row>
    <row r="10" spans="1:12" s="72" customFormat="1" ht="7.5" customHeight="1">
      <c r="A10" s="411" t="s">
        <v>822</v>
      </c>
      <c r="B10" s="754">
        <v>922678</v>
      </c>
      <c r="C10" s="754">
        <v>431401</v>
      </c>
      <c r="D10" s="754">
        <v>216505.27</v>
      </c>
      <c r="E10" s="754">
        <v>125854.08</v>
      </c>
      <c r="F10" s="754">
        <v>92481.44</v>
      </c>
      <c r="G10" s="755">
        <v>1788919.79</v>
      </c>
      <c r="H10" s="754">
        <v>26645367.630000003</v>
      </c>
      <c r="I10" s="692"/>
      <c r="J10" s="206"/>
      <c r="K10" s="282"/>
      <c r="L10" s="282"/>
    </row>
    <row r="11" spans="1:12" s="72" customFormat="1" ht="7.5" customHeight="1">
      <c r="A11" s="411" t="s">
        <v>823</v>
      </c>
      <c r="B11" s="754">
        <v>3505</v>
      </c>
      <c r="C11" s="754">
        <v>2081</v>
      </c>
      <c r="D11" s="754">
        <v>707</v>
      </c>
      <c r="E11" s="754">
        <v>933</v>
      </c>
      <c r="F11" s="754">
        <v>968</v>
      </c>
      <c r="G11" s="495">
        <v>8194</v>
      </c>
      <c r="H11" s="454">
        <v>130384</v>
      </c>
      <c r="I11" s="692"/>
      <c r="J11" s="206"/>
      <c r="K11" s="282"/>
      <c r="L11" s="282"/>
    </row>
    <row r="12" spans="1:12" s="72" customFormat="1" ht="7.5" customHeight="1">
      <c r="A12" s="411" t="s">
        <v>829</v>
      </c>
      <c r="B12" s="754">
        <v>263.24621968616265</v>
      </c>
      <c r="C12" s="754">
        <v>207.30466122056703</v>
      </c>
      <c r="D12" s="754">
        <v>306.2309335219236</v>
      </c>
      <c r="E12" s="754">
        <v>134.89183279742767</v>
      </c>
      <c r="F12" s="754">
        <v>95.53867768595042</v>
      </c>
      <c r="G12" s="495">
        <v>218</v>
      </c>
      <c r="H12" s="454">
        <v>204</v>
      </c>
      <c r="I12" s="692"/>
      <c r="J12" s="206"/>
      <c r="K12" s="282"/>
      <c r="L12" s="282"/>
    </row>
    <row r="13" spans="1:12" s="72" customFormat="1" ht="7.5" customHeight="1">
      <c r="A13" s="411"/>
      <c r="B13" s="754"/>
      <c r="C13" s="754"/>
      <c r="D13" s="754"/>
      <c r="E13" s="754"/>
      <c r="F13" s="754"/>
      <c r="G13" s="495"/>
      <c r="H13" s="454"/>
      <c r="I13" s="692"/>
      <c r="J13" s="206"/>
      <c r="K13" s="282"/>
      <c r="L13" s="282"/>
    </row>
    <row r="14" spans="1:12" s="72" customFormat="1" ht="7.5" customHeight="1">
      <c r="A14" s="836" t="s">
        <v>830</v>
      </c>
      <c r="B14" s="938"/>
      <c r="C14" s="938"/>
      <c r="D14" s="938"/>
      <c r="E14" s="938"/>
      <c r="F14" s="938"/>
      <c r="G14" s="865"/>
      <c r="H14" s="869"/>
      <c r="I14" s="692"/>
      <c r="J14" s="206"/>
      <c r="K14" s="282"/>
      <c r="L14" s="282"/>
    </row>
    <row r="15" spans="1:12" s="72" customFormat="1" ht="7.5" customHeight="1">
      <c r="A15" s="411" t="s">
        <v>831</v>
      </c>
      <c r="B15" s="754">
        <v>8823</v>
      </c>
      <c r="C15" s="754">
        <v>5638</v>
      </c>
      <c r="D15" s="754">
        <v>1602</v>
      </c>
      <c r="E15" s="754">
        <v>4321</v>
      </c>
      <c r="F15" s="754">
        <v>3991</v>
      </c>
      <c r="G15" s="495">
        <v>24375</v>
      </c>
      <c r="H15" s="454">
        <v>483156</v>
      </c>
      <c r="I15" s="692"/>
      <c r="J15" s="206"/>
      <c r="K15" s="282"/>
      <c r="L15" s="282"/>
    </row>
    <row r="16" spans="1:12" s="72" customFormat="1" ht="7.5" customHeight="1">
      <c r="A16" s="411" t="s">
        <v>875</v>
      </c>
      <c r="B16" s="756">
        <v>4.820155150814301</v>
      </c>
      <c r="C16" s="756">
        <v>5.5307474535212915</v>
      </c>
      <c r="D16" s="756">
        <v>4.791529580666388</v>
      </c>
      <c r="E16" s="756">
        <v>6.48211402310272</v>
      </c>
      <c r="F16" s="756">
        <v>5.422430636967565</v>
      </c>
      <c r="G16" s="757">
        <v>5.3</v>
      </c>
      <c r="H16" s="939">
        <v>5.947224801895776</v>
      </c>
      <c r="I16" s="692"/>
      <c r="J16" s="206"/>
      <c r="K16" s="282"/>
      <c r="L16" s="282"/>
    </row>
    <row r="17" spans="1:12" s="72" customFormat="1" ht="7.5" customHeight="1" thickBot="1">
      <c r="A17" s="843"/>
      <c r="B17" s="925"/>
      <c r="C17" s="925"/>
      <c r="D17" s="926"/>
      <c r="E17" s="926"/>
      <c r="F17" s="926"/>
      <c r="G17" s="926"/>
      <c r="H17" s="926"/>
      <c r="I17" s="725"/>
      <c r="J17" s="282"/>
      <c r="K17" s="282"/>
      <c r="L17" s="282"/>
    </row>
    <row r="18" spans="1:12" s="72" customFormat="1" ht="7.5" customHeight="1">
      <c r="A18" s="80" t="s">
        <v>833</v>
      </c>
      <c r="B18" s="25"/>
      <c r="C18" s="25"/>
      <c r="D18" s="25"/>
      <c r="E18" s="25"/>
      <c r="F18" s="25"/>
      <c r="G18" s="25"/>
      <c r="H18" s="73"/>
      <c r="I18" s="725"/>
      <c r="J18" s="282"/>
      <c r="K18" s="282"/>
      <c r="L18" s="282"/>
    </row>
    <row r="19" ht="7.5" customHeight="1">
      <c r="A19" s="160" t="s">
        <v>826</v>
      </c>
    </row>
    <row r="20" ht="7.5" customHeight="1">
      <c r="A20" s="160" t="s">
        <v>827</v>
      </c>
    </row>
    <row r="21" ht="7.5" customHeight="1">
      <c r="A21" s="753" t="s">
        <v>828</v>
      </c>
    </row>
    <row r="22" ht="7.5" customHeight="1">
      <c r="A22" s="753" t="s">
        <v>832</v>
      </c>
    </row>
    <row r="31" ht="15">
      <c r="Q31" s="752"/>
    </row>
  </sheetData>
  <sheetProtection/>
  <mergeCells count="2">
    <mergeCell ref="A1:H1"/>
    <mergeCell ref="A2:H2"/>
  </mergeCell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K24"/>
  <sheetViews>
    <sheetView zoomScale="140" zoomScaleNormal="140" zoomScalePageLayoutView="0" workbookViewId="0" topLeftCell="A1">
      <selection activeCell="A3" sqref="A3"/>
    </sheetView>
  </sheetViews>
  <sheetFormatPr defaultColWidth="11.421875" defaultRowHeight="9.75" customHeight="1"/>
  <cols>
    <col min="1" max="1" width="23.7109375" style="72" customWidth="1"/>
    <col min="2" max="6" width="6.7109375" style="72" customWidth="1"/>
    <col min="7" max="7" width="6.8515625" style="72" customWidth="1"/>
    <col min="8" max="8" width="9.57421875" style="73" customWidth="1"/>
    <col min="9" max="10" width="4.7109375" style="282" customWidth="1"/>
    <col min="11" max="11" width="27.28125" style="282" customWidth="1"/>
    <col min="12" max="12" width="11.421875" style="282" customWidth="1"/>
    <col min="13" max="16384" width="11.421875" style="72" customWidth="1"/>
  </cols>
  <sheetData>
    <row r="1" spans="1:9" ht="15" customHeight="1">
      <c r="A1" s="999" t="s">
        <v>626</v>
      </c>
      <c r="B1" s="999"/>
      <c r="C1" s="999"/>
      <c r="D1" s="999"/>
      <c r="E1" s="999"/>
      <c r="F1" s="999"/>
      <c r="G1" s="999"/>
      <c r="H1" s="999"/>
      <c r="I1" s="206"/>
    </row>
    <row r="2" spans="1:9" ht="9.75" customHeight="1">
      <c r="A2" s="1009" t="s">
        <v>955</v>
      </c>
      <c r="B2" s="1009"/>
      <c r="C2" s="1009"/>
      <c r="D2" s="1009"/>
      <c r="E2" s="1009"/>
      <c r="F2" s="1009"/>
      <c r="G2" s="1009"/>
      <c r="H2" s="1009"/>
      <c r="I2" s="206"/>
    </row>
    <row r="3" spans="1:9" ht="7.5" customHeight="1">
      <c r="A3" s="75"/>
      <c r="B3" s="76"/>
      <c r="I3" s="206"/>
    </row>
    <row r="4" spans="1:11" ht="19.5" customHeight="1">
      <c r="A4" s="77"/>
      <c r="B4" s="26" t="s">
        <v>521</v>
      </c>
      <c r="C4" s="26" t="s">
        <v>531</v>
      </c>
      <c r="D4" s="26" t="s">
        <v>523</v>
      </c>
      <c r="E4" s="26" t="s">
        <v>524</v>
      </c>
      <c r="F4" s="26" t="s">
        <v>525</v>
      </c>
      <c r="G4" s="27" t="s">
        <v>532</v>
      </c>
      <c r="H4" s="107" t="s">
        <v>535</v>
      </c>
      <c r="I4" s="206"/>
      <c r="K4" s="206"/>
    </row>
    <row r="5" spans="1:9" ht="7.5" customHeight="1">
      <c r="A5" s="79"/>
      <c r="B5" s="26"/>
      <c r="C5" s="26"/>
      <c r="D5" s="26"/>
      <c r="E5" s="26"/>
      <c r="F5" s="26"/>
      <c r="G5" s="27"/>
      <c r="H5" s="27"/>
      <c r="I5" s="206"/>
    </row>
    <row r="6" spans="1:9" ht="7.5" customHeight="1">
      <c r="A6" s="803" t="s">
        <v>576</v>
      </c>
      <c r="B6" s="831"/>
      <c r="C6" s="831"/>
      <c r="D6" s="831"/>
      <c r="E6" s="831"/>
      <c r="F6" s="831"/>
      <c r="G6" s="831"/>
      <c r="H6" s="831"/>
      <c r="I6" s="312"/>
    </row>
    <row r="7" spans="1:9" ht="7.5" customHeight="1">
      <c r="A7" s="80" t="s">
        <v>396</v>
      </c>
      <c r="B7" s="503">
        <v>1384</v>
      </c>
      <c r="C7" s="503">
        <v>972</v>
      </c>
      <c r="D7" s="503">
        <v>478</v>
      </c>
      <c r="E7" s="503">
        <v>58</v>
      </c>
      <c r="F7" s="503">
        <v>455</v>
      </c>
      <c r="G7" s="495">
        <f>SUM(B7:F7)</f>
        <v>3347</v>
      </c>
      <c r="H7" s="473">
        <v>81520</v>
      </c>
      <c r="I7" s="206"/>
    </row>
    <row r="8" spans="1:9" ht="7.5" customHeight="1">
      <c r="A8" s="80" t="s">
        <v>397</v>
      </c>
      <c r="B8" s="503">
        <v>830</v>
      </c>
      <c r="C8" s="503">
        <v>661</v>
      </c>
      <c r="D8" s="503">
        <v>126</v>
      </c>
      <c r="E8" s="503">
        <v>309</v>
      </c>
      <c r="F8" s="503">
        <v>117</v>
      </c>
      <c r="G8" s="495">
        <f>SUM(B8:F8)</f>
        <v>2043</v>
      </c>
      <c r="H8" s="473">
        <v>28513</v>
      </c>
      <c r="I8" s="206"/>
    </row>
    <row r="9" spans="1:9" ht="7.5" customHeight="1">
      <c r="A9" s="80" t="s">
        <v>765</v>
      </c>
      <c r="B9" s="503">
        <v>0</v>
      </c>
      <c r="C9" s="503">
        <v>12</v>
      </c>
      <c r="D9" s="503">
        <v>0</v>
      </c>
      <c r="E9" s="503">
        <v>0</v>
      </c>
      <c r="F9" s="503">
        <v>12</v>
      </c>
      <c r="G9" s="495">
        <f>SUM(B9:F9)</f>
        <v>24</v>
      </c>
      <c r="H9" s="473">
        <v>7916</v>
      </c>
      <c r="I9" s="206"/>
    </row>
    <row r="10" spans="1:10" ht="7.5" customHeight="1">
      <c r="A10" s="80" t="s">
        <v>766</v>
      </c>
      <c r="B10" s="503">
        <v>0</v>
      </c>
      <c r="C10" s="503">
        <v>0</v>
      </c>
      <c r="D10" s="503">
        <v>0</v>
      </c>
      <c r="E10" s="503">
        <v>0</v>
      </c>
      <c r="F10" s="503">
        <v>0</v>
      </c>
      <c r="G10" s="495">
        <f>SUM(B10:F10)</f>
        <v>0</v>
      </c>
      <c r="H10" s="473">
        <v>327</v>
      </c>
      <c r="I10" s="725"/>
      <c r="J10" s="206"/>
    </row>
    <row r="11" spans="1:10" ht="7.5" customHeight="1">
      <c r="A11" s="80" t="s">
        <v>398</v>
      </c>
      <c r="B11" s="503">
        <v>3778</v>
      </c>
      <c r="C11" s="503">
        <v>1376</v>
      </c>
      <c r="D11" s="503">
        <v>204</v>
      </c>
      <c r="E11" s="503">
        <v>631</v>
      </c>
      <c r="F11" s="503">
        <v>770</v>
      </c>
      <c r="G11" s="495">
        <f>SUM(B11:F11)</f>
        <v>6759</v>
      </c>
      <c r="H11" s="473">
        <v>198333</v>
      </c>
      <c r="I11" s="725"/>
      <c r="J11" s="206"/>
    </row>
    <row r="12" spans="1:9" ht="7.5" customHeight="1">
      <c r="A12" s="147" t="s">
        <v>585</v>
      </c>
      <c r="B12" s="386">
        <v>118.26237985276413</v>
      </c>
      <c r="C12" s="386">
        <v>97.7170136069886</v>
      </c>
      <c r="D12" s="386">
        <v>69.70324361628708</v>
      </c>
      <c r="E12" s="386">
        <v>48.200917652740884</v>
      </c>
      <c r="F12" s="386">
        <v>58.96309314586995</v>
      </c>
      <c r="G12" s="161">
        <v>88.99257967872133</v>
      </c>
      <c r="H12" s="386">
        <v>129.4930862044158</v>
      </c>
      <c r="I12" s="206"/>
    </row>
    <row r="13" spans="1:9" ht="7.5" customHeight="1">
      <c r="A13" s="147"/>
      <c r="B13" s="161"/>
      <c r="C13" s="161"/>
      <c r="D13" s="161"/>
      <c r="E13" s="161"/>
      <c r="F13" s="161"/>
      <c r="G13" s="161"/>
      <c r="H13" s="161"/>
      <c r="I13" s="312"/>
    </row>
    <row r="14" spans="1:9" ht="7.5" customHeight="1">
      <c r="A14" s="826" t="s">
        <v>768</v>
      </c>
      <c r="B14" s="940"/>
      <c r="C14" s="940"/>
      <c r="D14" s="940"/>
      <c r="E14" s="940"/>
      <c r="F14" s="940"/>
      <c r="G14" s="822"/>
      <c r="H14" s="823"/>
      <c r="I14" s="206"/>
    </row>
    <row r="15" spans="1:9" ht="7.5" customHeight="1">
      <c r="A15" s="80" t="s">
        <v>769</v>
      </c>
      <c r="B15" s="503">
        <v>699</v>
      </c>
      <c r="C15" s="503">
        <v>460</v>
      </c>
      <c r="D15" s="503">
        <v>39</v>
      </c>
      <c r="E15" s="503">
        <v>305</v>
      </c>
      <c r="F15" s="503">
        <v>110</v>
      </c>
      <c r="G15" s="495">
        <f>SUM(B15:F15)</f>
        <v>1613</v>
      </c>
      <c r="H15" s="503">
        <v>57076.59346369173</v>
      </c>
      <c r="I15" s="206"/>
    </row>
    <row r="16" spans="1:9" ht="7.5" customHeight="1">
      <c r="A16" s="80" t="s">
        <v>770</v>
      </c>
      <c r="B16" s="503">
        <v>999.27</v>
      </c>
      <c r="C16" s="503">
        <v>634.8</v>
      </c>
      <c r="D16" s="503">
        <v>51</v>
      </c>
      <c r="E16" s="503">
        <v>486</v>
      </c>
      <c r="F16" s="503">
        <v>151.79999999999998</v>
      </c>
      <c r="G16" s="495">
        <f>SUM(B16:F16)</f>
        <v>2322.87</v>
      </c>
      <c r="H16" s="503">
        <v>80481.19</v>
      </c>
      <c r="I16" s="206"/>
    </row>
    <row r="17" spans="1:9" ht="7.5" customHeight="1">
      <c r="A17" s="80"/>
      <c r="B17" s="206"/>
      <c r="C17" s="206"/>
      <c r="D17" s="206"/>
      <c r="E17" s="206"/>
      <c r="F17" s="206"/>
      <c r="G17" s="232"/>
      <c r="H17" s="206"/>
      <c r="I17" s="206"/>
    </row>
    <row r="18" spans="1:9" ht="7.5" customHeight="1">
      <c r="A18" s="826" t="s">
        <v>698</v>
      </c>
      <c r="B18" s="941"/>
      <c r="C18" s="941"/>
      <c r="D18" s="941"/>
      <c r="E18" s="941"/>
      <c r="F18" s="941"/>
      <c r="G18" s="942"/>
      <c r="H18" s="941"/>
      <c r="I18" s="206"/>
    </row>
    <row r="19" spans="1:11" ht="7.5" customHeight="1">
      <c r="A19" s="15" t="s">
        <v>497</v>
      </c>
      <c r="B19" s="504">
        <v>10555</v>
      </c>
      <c r="C19" s="504">
        <v>6227</v>
      </c>
      <c r="D19" s="504">
        <v>2462</v>
      </c>
      <c r="E19" s="504">
        <v>4808</v>
      </c>
      <c r="F19" s="504">
        <v>5393</v>
      </c>
      <c r="G19" s="495">
        <f>SUM(B19:F19)</f>
        <v>29445</v>
      </c>
      <c r="H19" s="454">
        <v>308295</v>
      </c>
      <c r="I19" s="206"/>
      <c r="K19" s="206"/>
    </row>
    <row r="20" spans="1:9" ht="7.5" customHeight="1">
      <c r="A20" s="80" t="s">
        <v>399</v>
      </c>
      <c r="B20" s="683">
        <v>2195</v>
      </c>
      <c r="C20" s="683">
        <v>900</v>
      </c>
      <c r="D20" s="683">
        <v>232</v>
      </c>
      <c r="E20" s="683">
        <v>436</v>
      </c>
      <c r="F20" s="683">
        <v>508</v>
      </c>
      <c r="G20" s="495">
        <f>SUM(B20:F20)</f>
        <v>4271</v>
      </c>
      <c r="H20" s="517">
        <v>81072</v>
      </c>
      <c r="I20" s="206"/>
    </row>
    <row r="21" spans="1:9" ht="7.5" customHeight="1" thickBot="1">
      <c r="A21" s="877"/>
      <c r="B21" s="837"/>
      <c r="C21" s="837"/>
      <c r="D21" s="837"/>
      <c r="E21" s="837"/>
      <c r="F21" s="837"/>
      <c r="G21" s="837"/>
      <c r="H21" s="844"/>
      <c r="I21" s="288"/>
    </row>
    <row r="22" spans="1:9" ht="7.5" customHeight="1">
      <c r="A22" s="22" t="s">
        <v>287</v>
      </c>
      <c r="I22" s="288"/>
    </row>
    <row r="23" spans="1:9" ht="7.5" customHeight="1">
      <c r="A23" s="327" t="s">
        <v>767</v>
      </c>
      <c r="I23" s="288"/>
    </row>
    <row r="24" spans="1:9" ht="7.5" customHeight="1">
      <c r="A24" s="80"/>
      <c r="I24" s="287"/>
    </row>
    <row r="25" ht="7.5" customHeight="1"/>
    <row r="26" ht="7.5" customHeight="1"/>
    <row r="27" ht="7.5" customHeight="1"/>
    <row r="28" ht="7.5" customHeight="1"/>
    <row r="29" ht="7.5" customHeight="1"/>
    <row r="30" ht="7.5" customHeight="1"/>
    <row r="31" ht="7.5" customHeight="1"/>
    <row r="32" ht="7.5" customHeight="1"/>
    <row r="33" ht="7.5" customHeight="1"/>
    <row r="34" ht="7.5" customHeight="1"/>
    <row r="35" ht="7.5" customHeight="1"/>
    <row r="36" ht="7.5" customHeight="1"/>
    <row r="37" ht="7.5" customHeight="1"/>
    <row r="38" ht="7.5" customHeight="1"/>
    <row r="39" ht="7.5" customHeight="1"/>
  </sheetData>
  <sheetProtection/>
  <mergeCells count="2">
    <mergeCell ref="A1:H1"/>
    <mergeCell ref="A2:H2"/>
  </mergeCells>
  <printOptions/>
  <pageMargins left="0.5905511811023623" right="0.5905511811023623" top="0.7874015748031497" bottom="0.7874015748031497" header="0.31496062992125984" footer="0.31496062992125984"/>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L41"/>
  <sheetViews>
    <sheetView zoomScale="140" zoomScaleNormal="140" zoomScalePageLayoutView="0" workbookViewId="0" topLeftCell="A1">
      <selection activeCell="A1" sqref="A1:H1"/>
    </sheetView>
  </sheetViews>
  <sheetFormatPr defaultColWidth="11.421875" defaultRowHeight="9.75" customHeight="1"/>
  <cols>
    <col min="1" max="1" width="23.7109375" style="72" customWidth="1"/>
    <col min="2" max="6" width="6.7109375" style="72" customWidth="1"/>
    <col min="7" max="7" width="6.8515625" style="72" customWidth="1"/>
    <col min="8" max="8" width="10.00390625" style="73" customWidth="1"/>
    <col min="9" max="10" width="4.7109375" style="282" customWidth="1"/>
    <col min="11" max="11" width="27.28125" style="282" customWidth="1"/>
    <col min="12" max="12" width="11.421875" style="282" customWidth="1"/>
    <col min="13" max="16384" width="11.421875" style="72" customWidth="1"/>
  </cols>
  <sheetData>
    <row r="1" spans="1:12" ht="15" customHeight="1">
      <c r="A1" s="999" t="s">
        <v>415</v>
      </c>
      <c r="B1" s="999"/>
      <c r="C1" s="999"/>
      <c r="D1" s="999"/>
      <c r="E1" s="999"/>
      <c r="F1" s="999"/>
      <c r="G1" s="999"/>
      <c r="H1" s="999"/>
      <c r="I1" s="206"/>
      <c r="J1" s="206"/>
      <c r="K1" s="206"/>
      <c r="L1" s="206"/>
    </row>
    <row r="2" spans="1:12" ht="9.75" customHeight="1">
      <c r="A2" s="1009" t="s">
        <v>876</v>
      </c>
      <c r="B2" s="1009"/>
      <c r="C2" s="1009"/>
      <c r="D2" s="1009"/>
      <c r="E2" s="1009"/>
      <c r="F2" s="1009"/>
      <c r="G2" s="1009"/>
      <c r="H2" s="1009"/>
      <c r="I2" s="206"/>
      <c r="J2" s="206"/>
      <c r="K2" s="206"/>
      <c r="L2" s="206"/>
    </row>
    <row r="3" spans="1:12" ht="7.5" customHeight="1">
      <c r="A3" s="75"/>
      <c r="B3" s="76"/>
      <c r="I3" s="206"/>
      <c r="J3" s="206"/>
      <c r="K3" s="206"/>
      <c r="L3" s="206"/>
    </row>
    <row r="4" spans="1:12" ht="19.5" customHeight="1">
      <c r="A4" s="77"/>
      <c r="B4" s="26" t="s">
        <v>521</v>
      </c>
      <c r="C4" s="26" t="s">
        <v>531</v>
      </c>
      <c r="D4" s="26" t="s">
        <v>523</v>
      </c>
      <c r="E4" s="26" t="s">
        <v>524</v>
      </c>
      <c r="F4" s="26" t="s">
        <v>525</v>
      </c>
      <c r="G4" s="27" t="s">
        <v>532</v>
      </c>
      <c r="H4" s="107" t="s">
        <v>535</v>
      </c>
      <c r="I4" s="206"/>
      <c r="J4" s="206"/>
      <c r="K4" s="206"/>
      <c r="L4" s="206"/>
    </row>
    <row r="5" spans="1:12" ht="7.5" customHeight="1">
      <c r="A5" s="79"/>
      <c r="B5" s="26"/>
      <c r="C5" s="26"/>
      <c r="D5" s="26"/>
      <c r="E5" s="26"/>
      <c r="F5" s="26"/>
      <c r="G5" s="27"/>
      <c r="H5" s="27"/>
      <c r="I5" s="206"/>
      <c r="J5" s="206"/>
      <c r="K5" s="206"/>
      <c r="L5" s="206"/>
    </row>
    <row r="6" spans="1:12" ht="7.5" customHeight="1">
      <c r="A6" s="803" t="s">
        <v>841</v>
      </c>
      <c r="B6" s="831"/>
      <c r="C6" s="831"/>
      <c r="D6" s="831"/>
      <c r="E6" s="831"/>
      <c r="F6" s="831"/>
      <c r="G6" s="934"/>
      <c r="H6" s="831"/>
      <c r="I6" s="288"/>
      <c r="J6" s="206"/>
      <c r="K6" s="206"/>
      <c r="L6" s="206"/>
    </row>
    <row r="7" spans="1:12" s="84" customFormat="1" ht="7.5" customHeight="1">
      <c r="A7" s="337"/>
      <c r="B7" s="189"/>
      <c r="C7" s="189"/>
      <c r="D7" s="189"/>
      <c r="E7" s="189"/>
      <c r="F7" s="189"/>
      <c r="G7" s="217"/>
      <c r="H7" s="189"/>
      <c r="I7" s="312"/>
      <c r="J7" s="206"/>
      <c r="K7" s="206"/>
      <c r="L7" s="206"/>
    </row>
    <row r="8" spans="1:12" s="84" customFormat="1" ht="7.5" customHeight="1">
      <c r="A8" s="803" t="s">
        <v>420</v>
      </c>
      <c r="B8" s="831">
        <f aca="true" t="shared" si="0" ref="B8:H8">SUM(B9:B11)</f>
        <v>18280</v>
      </c>
      <c r="C8" s="831">
        <f t="shared" si="0"/>
        <v>9622</v>
      </c>
      <c r="D8" s="831">
        <f t="shared" si="0"/>
        <v>4146</v>
      </c>
      <c r="E8" s="831">
        <f t="shared" si="0"/>
        <v>6670</v>
      </c>
      <c r="F8" s="831">
        <f t="shared" si="0"/>
        <v>27070</v>
      </c>
      <c r="G8" s="934">
        <f t="shared" si="0"/>
        <v>65788</v>
      </c>
      <c r="H8" s="943">
        <f t="shared" si="0"/>
        <v>1142452</v>
      </c>
      <c r="I8" s="338"/>
      <c r="J8" s="206"/>
      <c r="K8" s="206"/>
      <c r="L8" s="206"/>
    </row>
    <row r="9" spans="1:12" ht="7.5" customHeight="1">
      <c r="A9" s="80" t="s">
        <v>416</v>
      </c>
      <c r="B9" s="103">
        <v>894</v>
      </c>
      <c r="C9" s="103">
        <v>206</v>
      </c>
      <c r="D9" s="103">
        <v>202</v>
      </c>
      <c r="E9" s="103">
        <v>388</v>
      </c>
      <c r="F9" s="103">
        <v>284</v>
      </c>
      <c r="G9" s="500">
        <f>SUM(B9:F9)</f>
        <v>1974</v>
      </c>
      <c r="H9" s="454">
        <v>25973</v>
      </c>
      <c r="I9" s="338"/>
      <c r="J9" s="206"/>
      <c r="K9" s="206"/>
      <c r="L9" s="206"/>
    </row>
    <row r="10" spans="1:12" ht="7.5" customHeight="1">
      <c r="A10" s="80" t="s">
        <v>417</v>
      </c>
      <c r="B10" s="103">
        <v>10031</v>
      </c>
      <c r="C10" s="103">
        <v>4802</v>
      </c>
      <c r="D10" s="103">
        <v>1671</v>
      </c>
      <c r="E10" s="103">
        <v>3250</v>
      </c>
      <c r="F10" s="103">
        <v>14564</v>
      </c>
      <c r="G10" s="500">
        <f>SUM(B10:F10)</f>
        <v>34318</v>
      </c>
      <c r="H10" s="454">
        <v>511183</v>
      </c>
      <c r="I10" s="338"/>
      <c r="J10" s="206"/>
      <c r="K10" s="206"/>
      <c r="L10" s="206"/>
    </row>
    <row r="11" spans="1:12" ht="7.5" customHeight="1">
      <c r="A11" s="80" t="s">
        <v>418</v>
      </c>
      <c r="B11" s="103">
        <v>7355</v>
      </c>
      <c r="C11" s="103">
        <v>4614</v>
      </c>
      <c r="D11" s="103">
        <v>2273</v>
      </c>
      <c r="E11" s="103">
        <v>3032</v>
      </c>
      <c r="F11" s="103">
        <v>12222</v>
      </c>
      <c r="G11" s="500">
        <f>SUM(B11:F11)</f>
        <v>29496</v>
      </c>
      <c r="H11" s="454">
        <v>605296</v>
      </c>
      <c r="I11" s="338"/>
      <c r="J11" s="206"/>
      <c r="K11" s="206"/>
      <c r="L11" s="206"/>
    </row>
    <row r="12" spans="1:12" ht="7.5" customHeight="1">
      <c r="A12" s="826" t="s">
        <v>421</v>
      </c>
      <c r="B12" s="944">
        <v>600</v>
      </c>
      <c r="C12" s="944">
        <v>304</v>
      </c>
      <c r="D12" s="944">
        <v>146</v>
      </c>
      <c r="E12" s="944">
        <v>224</v>
      </c>
      <c r="F12" s="944">
        <v>786</v>
      </c>
      <c r="G12" s="821">
        <f>SUM(B12:F12)</f>
        <v>2060</v>
      </c>
      <c r="H12" s="869">
        <v>34334</v>
      </c>
      <c r="I12" s="338"/>
      <c r="J12" s="206"/>
      <c r="K12" s="206"/>
      <c r="L12" s="206"/>
    </row>
    <row r="13" spans="1:12" ht="7.5" customHeight="1">
      <c r="A13" s="80" t="s">
        <v>419</v>
      </c>
      <c r="B13" s="103">
        <v>518</v>
      </c>
      <c r="C13" s="103">
        <v>241</v>
      </c>
      <c r="D13" s="103">
        <v>120</v>
      </c>
      <c r="E13" s="103">
        <v>189</v>
      </c>
      <c r="F13" s="103">
        <v>719</v>
      </c>
      <c r="G13" s="500">
        <f>SUM(B13:F13)</f>
        <v>1787</v>
      </c>
      <c r="H13" s="454">
        <v>30164</v>
      </c>
      <c r="I13" s="338"/>
      <c r="J13" s="206"/>
      <c r="K13" s="206"/>
      <c r="L13" s="206"/>
    </row>
    <row r="14" spans="1:12" ht="7.5" customHeight="1">
      <c r="A14" s="80"/>
      <c r="B14" s="206"/>
      <c r="C14" s="206"/>
      <c r="D14" s="206"/>
      <c r="E14" s="206"/>
      <c r="F14" s="206"/>
      <c r="G14" s="501"/>
      <c r="H14" s="206"/>
      <c r="I14" s="206"/>
      <c r="J14" s="206"/>
      <c r="K14" s="206"/>
      <c r="L14" s="206"/>
    </row>
    <row r="15" spans="1:12" ht="7.5" customHeight="1">
      <c r="A15" s="803" t="s">
        <v>913</v>
      </c>
      <c r="B15" s="831"/>
      <c r="C15" s="831"/>
      <c r="D15" s="831"/>
      <c r="E15" s="831"/>
      <c r="F15" s="831"/>
      <c r="G15" s="934"/>
      <c r="H15" s="831"/>
      <c r="I15" s="288"/>
      <c r="J15" s="206"/>
      <c r="K15" s="206"/>
      <c r="L15" s="206"/>
    </row>
    <row r="16" spans="1:12" s="84" customFormat="1" ht="7.5" customHeight="1">
      <c r="A16" s="337"/>
      <c r="B16" s="189"/>
      <c r="C16" s="189"/>
      <c r="D16" s="189"/>
      <c r="E16" s="189"/>
      <c r="F16" s="189"/>
      <c r="G16" s="217"/>
      <c r="H16" s="189"/>
      <c r="I16" s="206"/>
      <c r="J16" s="206"/>
      <c r="K16" s="206"/>
      <c r="L16" s="206"/>
    </row>
    <row r="17" spans="1:12" ht="7.5" customHeight="1">
      <c r="A17" s="803" t="s">
        <v>420</v>
      </c>
      <c r="B17" s="831">
        <f aca="true" t="shared" si="1" ref="B17:G17">SUM(B18:B20)</f>
        <v>8042</v>
      </c>
      <c r="C17" s="831">
        <f t="shared" si="1"/>
        <v>9706</v>
      </c>
      <c r="D17" s="831">
        <f t="shared" si="1"/>
        <v>3892</v>
      </c>
      <c r="E17" s="831">
        <f t="shared" si="1"/>
        <v>4803</v>
      </c>
      <c r="F17" s="831">
        <f>SUM(F18:F20)</f>
        <v>10307</v>
      </c>
      <c r="G17" s="934">
        <f t="shared" si="1"/>
        <v>36750</v>
      </c>
      <c r="H17" s="831">
        <f>SUM(H18:H20)</f>
        <v>411274</v>
      </c>
      <c r="I17" s="338"/>
      <c r="J17" s="206"/>
      <c r="K17" s="206"/>
      <c r="L17" s="206"/>
    </row>
    <row r="18" spans="1:12" ht="7.5" customHeight="1">
      <c r="A18" s="80" t="s">
        <v>416</v>
      </c>
      <c r="B18" s="499">
        <v>720</v>
      </c>
      <c r="C18" s="499">
        <v>1076</v>
      </c>
      <c r="D18" s="499">
        <v>630</v>
      </c>
      <c r="E18" s="499">
        <v>499</v>
      </c>
      <c r="F18" s="499">
        <v>1093</v>
      </c>
      <c r="G18" s="500">
        <f>SUM(B18:F18)</f>
        <v>4018</v>
      </c>
      <c r="H18" s="454">
        <v>43024</v>
      </c>
      <c r="I18" s="338"/>
      <c r="J18" s="206"/>
      <c r="K18" s="206"/>
      <c r="L18" s="206"/>
    </row>
    <row r="19" spans="1:12" ht="7.5" customHeight="1">
      <c r="A19" s="80" t="s">
        <v>417</v>
      </c>
      <c r="B19" s="499">
        <v>5623</v>
      </c>
      <c r="C19" s="499">
        <v>6377</v>
      </c>
      <c r="D19" s="499">
        <v>2491</v>
      </c>
      <c r="E19" s="499">
        <v>3524</v>
      </c>
      <c r="F19" s="499">
        <v>6600</v>
      </c>
      <c r="G19" s="500">
        <f>SUM(B19:F19)</f>
        <v>24615</v>
      </c>
      <c r="H19" s="454">
        <v>255162</v>
      </c>
      <c r="I19" s="338"/>
      <c r="J19" s="206"/>
      <c r="K19" s="206"/>
      <c r="L19" s="206"/>
    </row>
    <row r="20" spans="1:12" ht="7.5" customHeight="1">
      <c r="A20" s="80" t="s">
        <v>418</v>
      </c>
      <c r="B20" s="499">
        <v>1699</v>
      </c>
      <c r="C20" s="499">
        <v>2253</v>
      </c>
      <c r="D20" s="499">
        <v>771</v>
      </c>
      <c r="E20" s="499">
        <v>780</v>
      </c>
      <c r="F20" s="499">
        <v>2614</v>
      </c>
      <c r="G20" s="500">
        <f>SUM(B20:F20)</f>
        <v>8117</v>
      </c>
      <c r="H20" s="454">
        <v>113088</v>
      </c>
      <c r="I20" s="338"/>
      <c r="J20" s="206"/>
      <c r="K20" s="206"/>
      <c r="L20" s="206"/>
    </row>
    <row r="21" spans="1:12" ht="7.5" customHeight="1">
      <c r="A21" s="826" t="s">
        <v>421</v>
      </c>
      <c r="B21" s="945">
        <v>507</v>
      </c>
      <c r="C21" s="945">
        <v>621</v>
      </c>
      <c r="D21" s="945">
        <v>238</v>
      </c>
      <c r="E21" s="945">
        <v>265</v>
      </c>
      <c r="F21" s="945">
        <v>627</v>
      </c>
      <c r="G21" s="821">
        <f>SUM(B21:F21)</f>
        <v>2258</v>
      </c>
      <c r="H21" s="869">
        <v>24271</v>
      </c>
      <c r="I21" s="338"/>
      <c r="J21" s="206"/>
      <c r="K21" s="206"/>
      <c r="L21" s="206"/>
    </row>
    <row r="22" spans="1:12" ht="7.5" customHeight="1" thickBot="1">
      <c r="A22" s="877"/>
      <c r="B22" s="837"/>
      <c r="C22" s="837"/>
      <c r="D22" s="837"/>
      <c r="E22" s="837"/>
      <c r="F22" s="837"/>
      <c r="G22" s="837"/>
      <c r="H22" s="844"/>
      <c r="I22" s="338"/>
      <c r="J22" s="206"/>
      <c r="K22" s="206"/>
      <c r="L22" s="206"/>
    </row>
    <row r="23" spans="1:12" ht="7.5" customHeight="1">
      <c r="A23" s="120" t="s">
        <v>289</v>
      </c>
      <c r="J23" s="206"/>
      <c r="K23" s="206"/>
      <c r="L23" s="206"/>
    </row>
    <row r="24" spans="1:9" ht="7.5" customHeight="1">
      <c r="A24" s="327" t="s">
        <v>840</v>
      </c>
      <c r="I24" s="288"/>
    </row>
    <row r="25" spans="1:9" ht="7.5" customHeight="1">
      <c r="A25" s="160" t="s">
        <v>842</v>
      </c>
      <c r="I25" s="287"/>
    </row>
    <row r="26" ht="7.5" customHeight="1"/>
    <row r="27" ht="7.5" customHeight="1"/>
    <row r="28" ht="7.5" customHeight="1"/>
    <row r="29" ht="7.5" customHeight="1"/>
    <row r="30" ht="7.5" customHeight="1"/>
    <row r="31" ht="7.5" customHeight="1"/>
    <row r="32" ht="7.5" customHeight="1"/>
    <row r="33" ht="7.5" customHeight="1"/>
    <row r="34" ht="7.5" customHeight="1"/>
    <row r="35" ht="7.5" customHeight="1"/>
    <row r="36" ht="7.5" customHeight="1"/>
    <row r="41" ht="9.75" customHeight="1">
      <c r="B41" s="72" t="s">
        <v>288</v>
      </c>
    </row>
  </sheetData>
  <sheetProtection/>
  <mergeCells count="2">
    <mergeCell ref="A1:H1"/>
    <mergeCell ref="A2:H2"/>
  </mergeCells>
  <printOptions/>
  <pageMargins left="0.5905511811023623" right="0.5905511811023623" top="0.7874015748031497" bottom="0.7874015748031497" header="0.31496062992125984" footer="0.31496062992125984"/>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H29"/>
  <sheetViews>
    <sheetView zoomScale="140" zoomScaleNormal="140" zoomScalePageLayoutView="0" workbookViewId="0" topLeftCell="A1">
      <selection activeCell="A1" sqref="A1:H1"/>
    </sheetView>
  </sheetViews>
  <sheetFormatPr defaultColWidth="11.421875" defaultRowHeight="9.75" customHeight="1"/>
  <cols>
    <col min="1" max="1" width="23.7109375" style="72" customWidth="1"/>
    <col min="2" max="6" width="6.7109375" style="72" customWidth="1"/>
    <col min="7" max="7" width="6.8515625" style="72" customWidth="1"/>
    <col min="8" max="8" width="10.00390625" style="73" customWidth="1"/>
    <col min="9" max="10" width="7.28125" style="282" customWidth="1"/>
    <col min="11" max="11" width="23.57421875" style="282" customWidth="1"/>
    <col min="12" max="12" width="11.421875" style="282" customWidth="1"/>
    <col min="13" max="16384" width="11.421875" style="72" customWidth="1"/>
  </cols>
  <sheetData>
    <row r="1" spans="1:8" ht="15" customHeight="1">
      <c r="A1" s="1000" t="s">
        <v>586</v>
      </c>
      <c r="B1" s="1000"/>
      <c r="C1" s="1000"/>
      <c r="D1" s="1000"/>
      <c r="E1" s="1000"/>
      <c r="F1" s="1000"/>
      <c r="G1" s="1000"/>
      <c r="H1" s="1000"/>
    </row>
    <row r="2" spans="1:8" ht="9.75" customHeight="1">
      <c r="A2" s="1002" t="s">
        <v>747</v>
      </c>
      <c r="B2" s="1002"/>
      <c r="C2" s="1002"/>
      <c r="D2" s="1002"/>
      <c r="E2" s="1002"/>
      <c r="F2" s="1002"/>
      <c r="G2" s="1002"/>
      <c r="H2" s="1002"/>
    </row>
    <row r="3" spans="1:2" ht="7.5" customHeight="1">
      <c r="A3" s="75"/>
      <c r="B3" s="76"/>
    </row>
    <row r="4" spans="1:8" ht="19.5" customHeight="1">
      <c r="A4" s="77"/>
      <c r="B4" s="26" t="s">
        <v>521</v>
      </c>
      <c r="C4" s="26" t="s">
        <v>522</v>
      </c>
      <c r="D4" s="26" t="s">
        <v>523</v>
      </c>
      <c r="E4" s="26" t="s">
        <v>524</v>
      </c>
      <c r="F4" s="26" t="s">
        <v>525</v>
      </c>
      <c r="G4" s="27" t="s">
        <v>526</v>
      </c>
      <c r="H4" s="107" t="s">
        <v>535</v>
      </c>
    </row>
    <row r="5" spans="1:8" ht="7.5" customHeight="1">
      <c r="A5" s="97"/>
      <c r="B5" s="148"/>
      <c r="C5" s="148"/>
      <c r="D5" s="148"/>
      <c r="E5" s="148"/>
      <c r="F5" s="148"/>
      <c r="G5" s="148"/>
      <c r="H5" s="148"/>
    </row>
    <row r="6" spans="1:8" ht="7.5" customHeight="1">
      <c r="A6" s="97"/>
      <c r="B6" s="155"/>
      <c r="C6" s="155"/>
      <c r="D6" s="155"/>
      <c r="E6" s="155"/>
      <c r="F6" s="155"/>
      <c r="G6" s="156"/>
      <c r="H6" s="155"/>
    </row>
    <row r="7" spans="1:8" ht="7.5" customHeight="1">
      <c r="A7" s="826" t="s">
        <v>174</v>
      </c>
      <c r="B7" s="946">
        <f aca="true" t="shared" si="0" ref="B7:H7">SUM(B8:B13)</f>
        <v>1795</v>
      </c>
      <c r="C7" s="946">
        <f t="shared" si="0"/>
        <v>846</v>
      </c>
      <c r="D7" s="946">
        <f t="shared" si="0"/>
        <v>188</v>
      </c>
      <c r="E7" s="946">
        <f t="shared" si="0"/>
        <v>617</v>
      </c>
      <c r="F7" s="946">
        <f t="shared" si="0"/>
        <v>231</v>
      </c>
      <c r="G7" s="946">
        <f t="shared" si="0"/>
        <v>3677</v>
      </c>
      <c r="H7" s="947">
        <f t="shared" si="0"/>
        <v>74279</v>
      </c>
    </row>
    <row r="8" spans="1:8" ht="7.5" customHeight="1">
      <c r="A8" s="44" t="s">
        <v>175</v>
      </c>
      <c r="B8" s="491">
        <v>156</v>
      </c>
      <c r="C8" s="491">
        <v>53</v>
      </c>
      <c r="D8" s="491">
        <v>0</v>
      </c>
      <c r="E8" s="491">
        <v>25</v>
      </c>
      <c r="F8" s="491">
        <v>51</v>
      </c>
      <c r="G8" s="495">
        <f aca="true" t="shared" si="1" ref="G8:G13">SUM(B8:F8)</f>
        <v>285</v>
      </c>
      <c r="H8" s="454">
        <v>4867</v>
      </c>
    </row>
    <row r="9" spans="1:8" ht="7.5" customHeight="1">
      <c r="A9" s="44" t="s">
        <v>176</v>
      </c>
      <c r="B9" s="491">
        <v>0</v>
      </c>
      <c r="C9" s="491">
        <v>14</v>
      </c>
      <c r="D9" s="491">
        <v>0</v>
      </c>
      <c r="E9" s="491">
        <v>26</v>
      </c>
      <c r="F9" s="491">
        <v>0</v>
      </c>
      <c r="G9" s="495">
        <f t="shared" si="1"/>
        <v>40</v>
      </c>
      <c r="H9" s="454">
        <v>786</v>
      </c>
    </row>
    <row r="10" spans="1:8" ht="7.5" customHeight="1">
      <c r="A10" s="44" t="s">
        <v>177</v>
      </c>
      <c r="B10" s="491">
        <v>167</v>
      </c>
      <c r="C10" s="491">
        <v>107</v>
      </c>
      <c r="D10" s="491">
        <v>0</v>
      </c>
      <c r="E10" s="491">
        <v>40</v>
      </c>
      <c r="F10" s="491">
        <v>52</v>
      </c>
      <c r="G10" s="495">
        <f t="shared" si="1"/>
        <v>366</v>
      </c>
      <c r="H10" s="454">
        <v>10116</v>
      </c>
    </row>
    <row r="11" spans="1:8" ht="7.5" customHeight="1">
      <c r="A11" s="44" t="s">
        <v>178</v>
      </c>
      <c r="B11" s="491">
        <v>1087</v>
      </c>
      <c r="C11" s="491">
        <v>648</v>
      </c>
      <c r="D11" s="491">
        <v>131</v>
      </c>
      <c r="E11" s="491">
        <v>283</v>
      </c>
      <c r="F11" s="491">
        <v>107</v>
      </c>
      <c r="G11" s="495">
        <f t="shared" si="1"/>
        <v>2256</v>
      </c>
      <c r="H11" s="454">
        <v>42703</v>
      </c>
    </row>
    <row r="12" spans="1:8" ht="7.5" customHeight="1">
      <c r="A12" s="44" t="s">
        <v>179</v>
      </c>
      <c r="B12" s="492">
        <v>221</v>
      </c>
      <c r="C12" s="492">
        <v>0</v>
      </c>
      <c r="D12" s="492">
        <v>30</v>
      </c>
      <c r="E12" s="492">
        <v>215</v>
      </c>
      <c r="F12" s="492">
        <v>0</v>
      </c>
      <c r="G12" s="495">
        <f t="shared" si="1"/>
        <v>466</v>
      </c>
      <c r="H12" s="454">
        <v>11993</v>
      </c>
    </row>
    <row r="13" spans="1:8" ht="7.5" customHeight="1">
      <c r="A13" s="80" t="s">
        <v>400</v>
      </c>
      <c r="B13" s="502">
        <f>118+46</f>
        <v>164</v>
      </c>
      <c r="C13" s="502">
        <v>24</v>
      </c>
      <c r="D13" s="502">
        <v>27</v>
      </c>
      <c r="E13" s="502">
        <v>28</v>
      </c>
      <c r="F13" s="502">
        <v>21</v>
      </c>
      <c r="G13" s="495">
        <f t="shared" si="1"/>
        <v>264</v>
      </c>
      <c r="H13" s="192">
        <f>2582+1232</f>
        <v>3814</v>
      </c>
    </row>
    <row r="14" spans="2:8" ht="7.5" customHeight="1">
      <c r="B14" s="157"/>
      <c r="C14" s="157"/>
      <c r="D14" s="157"/>
      <c r="E14" s="157"/>
      <c r="F14" s="157"/>
      <c r="G14" s="158"/>
      <c r="H14" s="159"/>
    </row>
    <row r="15" spans="1:8" ht="7.5" customHeight="1">
      <c r="A15" s="826" t="s">
        <v>35</v>
      </c>
      <c r="B15" s="948">
        <f>B7/('page 7 Démo'!B6+'page 7 Démo'!B7+'page 7 Démo'!B8+'page 7 Démo'!B9)*1000</f>
        <v>5.327294743340139</v>
      </c>
      <c r="C15" s="948">
        <f>C7/('page 7 Démo'!C6+'page 7 Démo'!C7+'page 7 Démo'!C8+'page 7 Démo'!C9)*1000</f>
        <v>4.0432619469787845</v>
      </c>
      <c r="D15" s="948">
        <f>D7/('page 7 Démo'!D6+'page 7 Démo'!D7+'page 7 Démo'!D8+'page 7 Démo'!D9)*1000</f>
        <v>2.318526009422095</v>
      </c>
      <c r="E15" s="948">
        <f>E7/('page 7 Démo'!E6+'page 7 Démo'!E7+'page 7 Démo'!E8+'page 7 Démo'!E9)*1000</f>
        <v>4.297375605950855</v>
      </c>
      <c r="F15" s="948">
        <f>F7/('page 7 Démo'!F6+'page 7 Démo'!F7+'page 7 Démo'!F8+'page 7 Démo'!F9)*1000</f>
        <v>1.4918914729683475</v>
      </c>
      <c r="G15" s="948">
        <f>G7/('page 7 Démo'!G6+'page 7 Démo'!G7+'page 7 Démo'!G8+'page 7 Démo'!G9)*1000</f>
        <v>3.9722150203093944</v>
      </c>
      <c r="H15" s="948">
        <f>H7/('page 7 Démo'!H6+'page 7 Démo'!H7+'page 7 Démo'!H8+'page 7 Démo'!H9)*1000</f>
        <v>4.78628850354495</v>
      </c>
    </row>
    <row r="16" spans="1:8" ht="7.5" customHeight="1" thickBot="1">
      <c r="A16" s="949"/>
      <c r="B16" s="837"/>
      <c r="C16" s="837"/>
      <c r="D16" s="837"/>
      <c r="E16" s="837"/>
      <c r="F16" s="837"/>
      <c r="G16" s="837"/>
      <c r="H16" s="844"/>
    </row>
    <row r="17" spans="1:8" ht="7.5" customHeight="1">
      <c r="A17" s="80" t="s">
        <v>697</v>
      </c>
      <c r="B17" s="25"/>
      <c r="C17" s="25"/>
      <c r="D17" s="25"/>
      <c r="E17" s="25"/>
      <c r="F17" s="25"/>
      <c r="G17" s="25"/>
      <c r="H17" s="31"/>
    </row>
    <row r="18" ht="7.5" customHeight="1">
      <c r="A18" s="160" t="s">
        <v>696</v>
      </c>
    </row>
    <row r="19" ht="7.5" customHeight="1">
      <c r="A19" s="112" t="s">
        <v>64</v>
      </c>
    </row>
    <row r="20" ht="7.5" customHeight="1"/>
    <row r="21" ht="7.5" customHeight="1"/>
    <row r="22" ht="7.5" customHeight="1"/>
    <row r="23" ht="7.5" customHeight="1"/>
    <row r="24" ht="7.5" customHeight="1">
      <c r="A24" s="44"/>
    </row>
    <row r="25" ht="7.5" customHeight="1">
      <c r="A25" s="44"/>
    </row>
    <row r="26" ht="7.5" customHeight="1">
      <c r="A26" s="44"/>
    </row>
    <row r="27" ht="7.5" customHeight="1">
      <c r="A27" s="44"/>
    </row>
    <row r="28" ht="7.5" customHeight="1">
      <c r="A28" s="44"/>
    </row>
    <row r="29" ht="7.5" customHeight="1">
      <c r="A29" s="80"/>
    </row>
    <row r="30" ht="7.5" customHeight="1"/>
    <row r="31" ht="7.5" customHeight="1"/>
    <row r="32" ht="7.5" customHeight="1"/>
    <row r="33" ht="7.5" customHeight="1"/>
    <row r="34" ht="7.5" customHeight="1"/>
    <row r="35" ht="7.5" customHeight="1"/>
    <row r="36" ht="7.5" customHeight="1"/>
  </sheetData>
  <sheetProtection/>
  <mergeCells count="2">
    <mergeCell ref="A1:H1"/>
    <mergeCell ref="A2:H2"/>
  </mergeCells>
  <printOptions/>
  <pageMargins left="0.5905511811023623" right="0.5905511811023623" top="0.7874015748031497" bottom="0.7874015748031497" header="0.31496062992125984" footer="0.31496062992125984"/>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Z25"/>
  <sheetViews>
    <sheetView zoomScale="140" zoomScaleNormal="140" zoomScalePageLayoutView="0" workbookViewId="0" topLeftCell="A1">
      <selection activeCell="A1" sqref="A1:H1"/>
    </sheetView>
  </sheetViews>
  <sheetFormatPr defaultColWidth="11.421875" defaultRowHeight="9.75" customHeight="1"/>
  <cols>
    <col min="1" max="1" width="26.421875" style="72" customWidth="1"/>
    <col min="2" max="6" width="6.7109375" style="72" customWidth="1"/>
    <col min="7" max="7" width="6.8515625" style="72" customWidth="1"/>
    <col min="8" max="8" width="9.140625" style="73" customWidth="1"/>
    <col min="9" max="9" width="9.7109375" style="72" customWidth="1"/>
    <col min="10" max="10" width="23.421875" style="15" customWidth="1"/>
    <col min="11" max="11" width="6.421875" style="15" customWidth="1"/>
    <col min="12" max="12" width="27.7109375" style="15" customWidth="1"/>
    <col min="13" max="16" width="6.7109375" style="15" customWidth="1"/>
    <col min="17" max="17" width="8.28125" style="15" customWidth="1"/>
    <col min="18" max="19" width="11.421875" style="15" customWidth="1"/>
    <col min="20" max="16384" width="11.421875" style="72" customWidth="1"/>
  </cols>
  <sheetData>
    <row r="1" spans="1:9" ht="15" customHeight="1">
      <c r="A1" s="1000" t="s">
        <v>793</v>
      </c>
      <c r="B1" s="1000"/>
      <c r="C1" s="1000"/>
      <c r="D1" s="1000"/>
      <c r="E1" s="1000"/>
      <c r="F1" s="1000"/>
      <c r="G1" s="1000"/>
      <c r="H1" s="1000"/>
      <c r="I1" s="15"/>
    </row>
    <row r="2" spans="1:11" s="65" customFormat="1" ht="9.75" customHeight="1">
      <c r="A2" s="1002" t="s">
        <v>745</v>
      </c>
      <c r="B2" s="1002"/>
      <c r="C2" s="1002"/>
      <c r="D2" s="1002"/>
      <c r="E2" s="1002"/>
      <c r="F2" s="1002"/>
      <c r="G2" s="1002"/>
      <c r="H2" s="1002"/>
      <c r="I2" s="339"/>
      <c r="J2" s="339"/>
      <c r="K2" s="339"/>
    </row>
    <row r="3" spans="1:9" ht="7.5" customHeight="1">
      <c r="A3" s="75"/>
      <c r="B3" s="76"/>
      <c r="I3" s="15"/>
    </row>
    <row r="4" spans="1:11" s="76" customFormat="1" ht="27">
      <c r="A4" s="77"/>
      <c r="B4" s="26" t="s">
        <v>521</v>
      </c>
      <c r="C4" s="26" t="s">
        <v>531</v>
      </c>
      <c r="D4" s="26" t="s">
        <v>523</v>
      </c>
      <c r="E4" s="26" t="s">
        <v>524</v>
      </c>
      <c r="F4" s="26" t="s">
        <v>525</v>
      </c>
      <c r="G4" s="27" t="s">
        <v>532</v>
      </c>
      <c r="H4" s="107" t="s">
        <v>527</v>
      </c>
      <c r="I4" s="340"/>
      <c r="J4" s="341"/>
      <c r="K4" s="78"/>
    </row>
    <row r="5" spans="1:9" ht="7.5" customHeight="1">
      <c r="A5" s="79"/>
      <c r="B5" s="26"/>
      <c r="C5" s="26"/>
      <c r="D5" s="26"/>
      <c r="E5" s="26"/>
      <c r="F5" s="26"/>
      <c r="G5" s="27"/>
      <c r="H5" s="27"/>
      <c r="I5" s="15"/>
    </row>
    <row r="6" spans="1:11" ht="7.5" customHeight="1">
      <c r="A6" s="826" t="s">
        <v>792</v>
      </c>
      <c r="B6" s="875">
        <v>45545</v>
      </c>
      <c r="C6" s="875">
        <v>25328</v>
      </c>
      <c r="D6" s="875">
        <v>8519</v>
      </c>
      <c r="E6" s="875">
        <v>17082</v>
      </c>
      <c r="F6" s="875">
        <v>12250</v>
      </c>
      <c r="G6" s="875">
        <v>108724</v>
      </c>
      <c r="H6" s="875">
        <v>5405737</v>
      </c>
      <c r="I6" s="288"/>
      <c r="J6" s="106"/>
      <c r="K6" s="106"/>
    </row>
    <row r="7" spans="1:11" ht="7.5" customHeight="1">
      <c r="A7" s="44"/>
      <c r="B7" s="162"/>
      <c r="C7" s="162"/>
      <c r="D7" s="162"/>
      <c r="E7" s="162"/>
      <c r="F7" s="162"/>
      <c r="G7" s="197"/>
      <c r="H7" s="162"/>
      <c r="I7" s="288"/>
      <c r="J7" s="106"/>
      <c r="K7" s="342"/>
    </row>
    <row r="8" spans="1:11" ht="7.5" customHeight="1">
      <c r="A8" s="826" t="s">
        <v>789</v>
      </c>
      <c r="B8" s="826"/>
      <c r="C8" s="826"/>
      <c r="D8" s="826"/>
      <c r="E8" s="826"/>
      <c r="F8" s="826"/>
      <c r="G8" s="826"/>
      <c r="H8" s="826"/>
      <c r="I8" s="288"/>
      <c r="K8" s="99"/>
    </row>
    <row r="9" spans="1:19" s="84" customFormat="1" ht="7.5" customHeight="1">
      <c r="A9" s="80" t="s">
        <v>796</v>
      </c>
      <c r="B9" s="162">
        <v>3319</v>
      </c>
      <c r="C9" s="162">
        <v>2221</v>
      </c>
      <c r="D9" s="162">
        <v>578</v>
      </c>
      <c r="E9" s="162">
        <v>1647</v>
      </c>
      <c r="F9" s="162">
        <v>1356</v>
      </c>
      <c r="G9" s="168">
        <v>9121</v>
      </c>
      <c r="H9" s="162">
        <v>587920</v>
      </c>
      <c r="I9" s="288"/>
      <c r="J9" s="15"/>
      <c r="K9" s="99"/>
      <c r="L9" s="15"/>
      <c r="M9" s="15"/>
      <c r="N9" s="15"/>
      <c r="O9" s="15"/>
      <c r="P9" s="15"/>
      <c r="Q9" s="15"/>
      <c r="R9" s="15"/>
      <c r="S9" s="15"/>
    </row>
    <row r="10" spans="1:9" ht="7.5" customHeight="1">
      <c r="A10" s="44" t="s">
        <v>797</v>
      </c>
      <c r="B10" s="86">
        <v>895</v>
      </c>
      <c r="C10" s="86">
        <v>398</v>
      </c>
      <c r="D10" s="86">
        <v>121</v>
      </c>
      <c r="E10" s="86">
        <v>298</v>
      </c>
      <c r="F10" s="86">
        <v>345</v>
      </c>
      <c r="G10" s="168">
        <v>2057</v>
      </c>
      <c r="H10" s="162">
        <v>303342</v>
      </c>
      <c r="I10" s="288"/>
    </row>
    <row r="11" spans="1:11" ht="7.5" customHeight="1">
      <c r="A11" s="53" t="s">
        <v>798</v>
      </c>
      <c r="B11" s="86">
        <v>996</v>
      </c>
      <c r="C11" s="86">
        <v>492</v>
      </c>
      <c r="D11" s="86">
        <v>123</v>
      </c>
      <c r="E11" s="86">
        <v>453</v>
      </c>
      <c r="F11" s="86">
        <v>358</v>
      </c>
      <c r="G11" s="168">
        <v>2422</v>
      </c>
      <c r="H11" s="162">
        <v>247903</v>
      </c>
      <c r="I11" s="288"/>
      <c r="J11" s="153"/>
      <c r="K11" s="343"/>
    </row>
    <row r="12" spans="1:9" s="53" customFormat="1" ht="7.5" customHeight="1">
      <c r="A12" s="53" t="s">
        <v>799</v>
      </c>
      <c r="B12" s="86">
        <v>6448</v>
      </c>
      <c r="C12" s="86">
        <v>3673</v>
      </c>
      <c r="D12" s="86">
        <v>3016</v>
      </c>
      <c r="E12" s="86">
        <v>1910</v>
      </c>
      <c r="F12" s="86">
        <v>4023</v>
      </c>
      <c r="G12" s="168">
        <v>19070</v>
      </c>
      <c r="H12" s="162">
        <v>677872</v>
      </c>
      <c r="I12" s="288"/>
    </row>
    <row r="13" spans="1:9" ht="7.5" customHeight="1">
      <c r="A13" s="44" t="s">
        <v>800</v>
      </c>
      <c r="B13" s="86">
        <v>2021</v>
      </c>
      <c r="C13" s="86">
        <v>1151</v>
      </c>
      <c r="D13" s="86">
        <v>410</v>
      </c>
      <c r="E13" s="86">
        <v>1064</v>
      </c>
      <c r="F13" s="86">
        <v>815</v>
      </c>
      <c r="G13" s="168">
        <v>5461</v>
      </c>
      <c r="H13" s="162">
        <v>240784</v>
      </c>
      <c r="I13" s="288"/>
    </row>
    <row r="14" spans="1:9" ht="7.5" customHeight="1">
      <c r="A14" s="44" t="s">
        <v>801</v>
      </c>
      <c r="B14" s="86">
        <v>5688</v>
      </c>
      <c r="C14" s="86">
        <v>1677</v>
      </c>
      <c r="D14" s="86">
        <v>604</v>
      </c>
      <c r="E14" s="86">
        <v>1269</v>
      </c>
      <c r="F14" s="86">
        <v>533</v>
      </c>
      <c r="G14" s="168">
        <v>9771</v>
      </c>
      <c r="H14" s="162">
        <v>729304</v>
      </c>
      <c r="I14" s="288"/>
    </row>
    <row r="15" spans="1:11" ht="7.5" customHeight="1">
      <c r="A15" s="44" t="s">
        <v>802</v>
      </c>
      <c r="B15" s="86">
        <v>4425</v>
      </c>
      <c r="C15" s="86">
        <v>3699</v>
      </c>
      <c r="D15" s="86">
        <v>972</v>
      </c>
      <c r="E15" s="86">
        <v>2700</v>
      </c>
      <c r="F15" s="86">
        <v>786</v>
      </c>
      <c r="G15" s="168">
        <v>12582</v>
      </c>
      <c r="H15" s="162">
        <v>670725</v>
      </c>
      <c r="I15" s="288"/>
      <c r="K15" s="17"/>
    </row>
    <row r="16" spans="1:11" ht="7.5" customHeight="1">
      <c r="A16" s="44" t="s">
        <v>803</v>
      </c>
      <c r="B16" s="86">
        <v>2073</v>
      </c>
      <c r="C16" s="86">
        <v>849</v>
      </c>
      <c r="D16" s="86">
        <v>212</v>
      </c>
      <c r="E16" s="86">
        <v>705</v>
      </c>
      <c r="F16" s="86">
        <v>193</v>
      </c>
      <c r="G16" s="168">
        <v>4032</v>
      </c>
      <c r="H16" s="162">
        <v>241631</v>
      </c>
      <c r="I16" s="288"/>
      <c r="J16" s="17"/>
      <c r="K16" s="17"/>
    </row>
    <row r="17" spans="1:11" ht="7.5" customHeight="1">
      <c r="A17" s="44" t="s">
        <v>804</v>
      </c>
      <c r="B17" s="86">
        <v>9060</v>
      </c>
      <c r="C17" s="86">
        <v>4845</v>
      </c>
      <c r="D17" s="86">
        <v>1394</v>
      </c>
      <c r="E17" s="86">
        <v>3819</v>
      </c>
      <c r="F17" s="86">
        <v>1399</v>
      </c>
      <c r="G17" s="168">
        <v>20517</v>
      </c>
      <c r="H17" s="162">
        <v>705387</v>
      </c>
      <c r="I17" s="288"/>
      <c r="J17" s="17"/>
      <c r="K17" s="333"/>
    </row>
    <row r="18" spans="1:11" ht="7.5" customHeight="1">
      <c r="A18" s="44" t="s">
        <v>805</v>
      </c>
      <c r="B18" s="86">
        <v>2692</v>
      </c>
      <c r="C18" s="86">
        <v>1565</v>
      </c>
      <c r="D18" s="86">
        <v>166</v>
      </c>
      <c r="E18" s="86">
        <v>844</v>
      </c>
      <c r="F18" s="86">
        <v>203</v>
      </c>
      <c r="G18" s="168">
        <v>5470</v>
      </c>
      <c r="H18" s="162">
        <v>245685</v>
      </c>
      <c r="I18" s="288"/>
      <c r="J18" s="17"/>
      <c r="K18" s="333"/>
    </row>
    <row r="19" spans="1:11" ht="7.5" customHeight="1">
      <c r="A19" s="44" t="s">
        <v>806</v>
      </c>
      <c r="B19" s="86">
        <v>7928</v>
      </c>
      <c r="C19" s="86">
        <v>4758</v>
      </c>
      <c r="D19" s="86">
        <v>923</v>
      </c>
      <c r="E19" s="86">
        <v>2373</v>
      </c>
      <c r="F19" s="86">
        <v>2239</v>
      </c>
      <c r="G19" s="168">
        <v>18221</v>
      </c>
      <c r="H19" s="162">
        <v>755184</v>
      </c>
      <c r="I19" s="288"/>
      <c r="J19" s="17"/>
      <c r="K19" s="333"/>
    </row>
    <row r="20" spans="2:11" ht="7.5" customHeight="1">
      <c r="B20" s="86"/>
      <c r="C20" s="86"/>
      <c r="D20" s="86"/>
      <c r="E20" s="86"/>
      <c r="F20" s="86"/>
      <c r="G20" s="168"/>
      <c r="H20" s="162"/>
      <c r="I20" s="288"/>
      <c r="J20" s="17"/>
      <c r="K20" s="333"/>
    </row>
    <row r="21" spans="1:11" ht="7.5" customHeight="1">
      <c r="A21" s="826" t="s">
        <v>790</v>
      </c>
      <c r="B21" s="886">
        <v>0.48789640330467</v>
      </c>
      <c r="C21" s="886">
        <v>0.503689875644948</v>
      </c>
      <c r="D21" s="886">
        <v>0.488293524690365</v>
      </c>
      <c r="E21" s="886">
        <v>0.504205042584515</v>
      </c>
      <c r="F21" s="886">
        <v>0.503429622148487</v>
      </c>
      <c r="G21" s="886">
        <v>0.49593112330953</v>
      </c>
      <c r="H21" s="886">
        <v>0.508861150318199</v>
      </c>
      <c r="I21" s="288"/>
      <c r="K21" s="99"/>
    </row>
    <row r="22" spans="1:11" s="84" customFormat="1" ht="7.5" customHeight="1" thickBot="1">
      <c r="A22" s="950"/>
      <c r="B22" s="951"/>
      <c r="C22" s="951"/>
      <c r="D22" s="951"/>
      <c r="E22" s="951"/>
      <c r="F22" s="951"/>
      <c r="G22" s="952"/>
      <c r="H22" s="952"/>
      <c r="I22" s="344"/>
      <c r="J22" s="17"/>
      <c r="K22" s="333"/>
    </row>
    <row r="23" spans="1:26" s="15" customFormat="1" ht="7.5" customHeight="1">
      <c r="A23" s="74" t="s">
        <v>791</v>
      </c>
      <c r="B23" s="72"/>
      <c r="C23" s="72"/>
      <c r="D23" s="72"/>
      <c r="E23" s="72"/>
      <c r="F23" s="72"/>
      <c r="G23" s="72"/>
      <c r="H23" s="73"/>
      <c r="I23" s="174"/>
      <c r="J23" s="56"/>
      <c r="T23" s="72"/>
      <c r="U23" s="72"/>
      <c r="V23" s="72"/>
      <c r="W23" s="72"/>
      <c r="X23" s="72"/>
      <c r="Y23" s="72"/>
      <c r="Z23" s="72"/>
    </row>
    <row r="24" spans="1:9" ht="7.5" customHeight="1">
      <c r="A24" s="325" t="s">
        <v>164</v>
      </c>
      <c r="B24" s="15"/>
      <c r="C24" s="15"/>
      <c r="D24" s="15"/>
      <c r="E24" s="15"/>
      <c r="F24" s="15"/>
      <c r="G24" s="15"/>
      <c r="H24" s="15"/>
      <c r="I24" s="15"/>
    </row>
    <row r="25" spans="20:26" s="15" customFormat="1" ht="7.5" customHeight="1">
      <c r="T25" s="72"/>
      <c r="U25" s="72"/>
      <c r="V25" s="72"/>
      <c r="W25" s="72"/>
      <c r="X25" s="72"/>
      <c r="Y25" s="72"/>
      <c r="Z25" s="72"/>
    </row>
    <row r="26" ht="7.5" customHeight="1"/>
    <row r="27" ht="7.5" customHeight="1"/>
    <row r="28" ht="7.5" customHeight="1"/>
    <row r="29" ht="7.5" customHeight="1"/>
    <row r="30" ht="7.5" customHeight="1"/>
    <row r="31" ht="7.5" customHeight="1"/>
    <row r="32" ht="7.5" customHeight="1"/>
    <row r="33" ht="7.5" customHeight="1"/>
    <row r="34" ht="7.5" customHeight="1"/>
    <row r="35" ht="7.5" customHeight="1"/>
  </sheetData>
  <sheetProtection/>
  <mergeCells count="2">
    <mergeCell ref="A1:H1"/>
    <mergeCell ref="A2:H2"/>
  </mergeCells>
  <printOptions/>
  <pageMargins left="0.5905511811023623" right="0.5905511811023623" top="0.7874015748031497" bottom="0.7874015748031497" header="0.31496062992125984" footer="0.31496062992125984"/>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T21"/>
  <sheetViews>
    <sheetView zoomScale="140" zoomScaleNormal="140" zoomScalePageLayoutView="0" workbookViewId="0" topLeftCell="A1">
      <selection activeCell="A1" sqref="A1:H1"/>
    </sheetView>
  </sheetViews>
  <sheetFormatPr defaultColWidth="11.421875" defaultRowHeight="9.75" customHeight="1"/>
  <cols>
    <col min="1" max="1" width="26.00390625" style="1" customWidth="1"/>
    <col min="2" max="6" width="6.7109375" style="1" customWidth="1"/>
    <col min="7" max="7" width="6.8515625" style="1" customWidth="1"/>
    <col min="8" max="8" width="9.140625" style="5" customWidth="1"/>
    <col min="9" max="9" width="9.7109375" style="1" customWidth="1"/>
    <col min="10" max="10" width="23.421875" style="10" customWidth="1"/>
    <col min="11" max="11" width="6.421875" style="10" customWidth="1"/>
    <col min="12" max="12" width="27.7109375" style="10" customWidth="1"/>
    <col min="13" max="16" width="6.7109375" style="10" customWidth="1"/>
    <col min="17" max="17" width="8.28125" style="10" customWidth="1"/>
    <col min="18" max="19" width="11.421875" style="10" customWidth="1"/>
    <col min="20" max="16384" width="11.421875" style="1" customWidth="1"/>
  </cols>
  <sheetData>
    <row r="1" spans="1:9" ht="15" customHeight="1">
      <c r="A1" s="1000" t="s">
        <v>794</v>
      </c>
      <c r="B1" s="1000"/>
      <c r="C1" s="1000"/>
      <c r="D1" s="1000"/>
      <c r="E1" s="1000"/>
      <c r="F1" s="1000"/>
      <c r="G1" s="1000"/>
      <c r="H1" s="1000"/>
      <c r="I1" s="288"/>
    </row>
    <row r="2" spans="1:9" ht="9.75" customHeight="1">
      <c r="A2" s="1002" t="s">
        <v>795</v>
      </c>
      <c r="B2" s="1002"/>
      <c r="C2" s="1002"/>
      <c r="D2" s="1002"/>
      <c r="E2" s="1002"/>
      <c r="F2" s="1002"/>
      <c r="G2" s="1002"/>
      <c r="H2" s="1002"/>
      <c r="I2" s="288"/>
    </row>
    <row r="3" spans="1:20" s="10" customFormat="1" ht="7.5" customHeight="1">
      <c r="A3" s="151"/>
      <c r="B3" s="78"/>
      <c r="C3" s="78"/>
      <c r="D3" s="78"/>
      <c r="E3" s="78"/>
      <c r="F3" s="78"/>
      <c r="G3" s="78"/>
      <c r="H3" s="152"/>
      <c r="J3" s="16"/>
      <c r="K3" s="16"/>
      <c r="T3" s="13"/>
    </row>
    <row r="4" spans="1:11" s="8" customFormat="1" ht="27">
      <c r="A4" s="27"/>
      <c r="B4" s="26" t="s">
        <v>521</v>
      </c>
      <c r="C4" s="26" t="s">
        <v>531</v>
      </c>
      <c r="D4" s="26" t="s">
        <v>523</v>
      </c>
      <c r="E4" s="26" t="s">
        <v>524</v>
      </c>
      <c r="F4" s="26" t="s">
        <v>525</v>
      </c>
      <c r="G4" s="27" t="s">
        <v>532</v>
      </c>
      <c r="H4" s="107" t="s">
        <v>527</v>
      </c>
      <c r="K4" s="144"/>
    </row>
    <row r="5" spans="1:20" s="10" customFormat="1" ht="7.5" customHeight="1">
      <c r="A5" s="151"/>
      <c r="B5" s="78"/>
      <c r="C5" s="78"/>
      <c r="D5" s="78"/>
      <c r="E5" s="78"/>
      <c r="F5" s="78"/>
      <c r="G5" s="78"/>
      <c r="H5" s="152"/>
      <c r="J5" s="16"/>
      <c r="K5" s="16"/>
      <c r="T5" s="13"/>
    </row>
    <row r="6" spans="1:11" ht="7.5" customHeight="1">
      <c r="A6" s="953" t="s">
        <v>935</v>
      </c>
      <c r="B6" s="934">
        <v>551518.311381</v>
      </c>
      <c r="C6" s="934">
        <v>330831.39634699974</v>
      </c>
      <c r="D6" s="934">
        <v>130937.42438499993</v>
      </c>
      <c r="E6" s="934">
        <v>231952.89924799989</v>
      </c>
      <c r="F6" s="934">
        <v>263652.40150200005</v>
      </c>
      <c r="G6" s="934">
        <v>1508892.4328629994</v>
      </c>
      <c r="H6" s="934">
        <v>26127856.794244997</v>
      </c>
      <c r="I6" s="288"/>
      <c r="K6" s="1"/>
    </row>
    <row r="7" spans="1:11" ht="7.5" customHeight="1">
      <c r="A7" s="15" t="s">
        <v>807</v>
      </c>
      <c r="B7" s="99">
        <v>20570.731833</v>
      </c>
      <c r="C7" s="99">
        <v>10063.155839000003</v>
      </c>
      <c r="D7" s="99">
        <v>3473.019226000002</v>
      </c>
      <c r="E7" s="99">
        <v>6514.849540000001</v>
      </c>
      <c r="F7" s="99">
        <v>4531.427358999999</v>
      </c>
      <c r="G7" s="217">
        <v>45153.18379700001</v>
      </c>
      <c r="H7" s="99">
        <v>2416130.702831</v>
      </c>
      <c r="I7" s="288"/>
      <c r="J7" s="106"/>
      <c r="K7" s="1"/>
    </row>
    <row r="8" spans="1:11" ht="7.5" customHeight="1">
      <c r="A8" s="15" t="s">
        <v>808</v>
      </c>
      <c r="B8" s="99">
        <v>530947.579554</v>
      </c>
      <c r="C8" s="99">
        <v>320768.2405269999</v>
      </c>
      <c r="D8" s="99">
        <v>127464.40517000001</v>
      </c>
      <c r="E8" s="99">
        <v>225438.04968699993</v>
      </c>
      <c r="F8" s="99">
        <v>259120.9741479999</v>
      </c>
      <c r="G8" s="217">
        <v>1463739.2490859998</v>
      </c>
      <c r="H8" s="99">
        <v>23711726.091157</v>
      </c>
      <c r="I8" s="288"/>
      <c r="K8" s="1"/>
    </row>
    <row r="9" spans="1:11" ht="7.5" customHeight="1">
      <c r="A9" s="15"/>
      <c r="B9" s="99"/>
      <c r="C9" s="99"/>
      <c r="D9" s="99"/>
      <c r="E9" s="99"/>
      <c r="F9" s="99"/>
      <c r="G9" s="217"/>
      <c r="H9" s="99"/>
      <c r="I9" s="288"/>
      <c r="K9" s="1"/>
    </row>
    <row r="10" spans="1:11" ht="7.5" customHeight="1">
      <c r="A10" s="15" t="s">
        <v>809</v>
      </c>
      <c r="B10" s="99">
        <v>540213.058991</v>
      </c>
      <c r="C10" s="99">
        <v>325340.5196949997</v>
      </c>
      <c r="D10" s="99">
        <v>128922.64571199994</v>
      </c>
      <c r="E10" s="99">
        <v>228462.6642649999</v>
      </c>
      <c r="F10" s="99">
        <v>261143.94552400004</v>
      </c>
      <c r="G10" s="217">
        <v>1484082.8341869996</v>
      </c>
      <c r="H10" s="99">
        <v>24746908.038396996</v>
      </c>
      <c r="I10" s="288"/>
      <c r="K10" s="1"/>
    </row>
    <row r="11" spans="1:11" ht="7.5" customHeight="1">
      <c r="A11" s="19" t="s">
        <v>810</v>
      </c>
      <c r="B11" s="99">
        <v>11305.252389999998</v>
      </c>
      <c r="C11" s="99">
        <v>5490.8766520000045</v>
      </c>
      <c r="D11" s="99">
        <v>2014.7786730000005</v>
      </c>
      <c r="E11" s="99">
        <v>3490.2349829999985</v>
      </c>
      <c r="F11" s="99">
        <v>2508.4559780000004</v>
      </c>
      <c r="G11" s="217">
        <v>24809.598676</v>
      </c>
      <c r="H11" s="99">
        <v>1380948.7558480003</v>
      </c>
      <c r="I11" s="288"/>
      <c r="K11" s="1"/>
    </row>
    <row r="12" spans="1:11" ht="7.5" customHeight="1">
      <c r="A12" s="19"/>
      <c r="B12" s="15"/>
      <c r="C12" s="99"/>
      <c r="D12" s="99"/>
      <c r="E12" s="99"/>
      <c r="F12" s="99"/>
      <c r="G12" s="217"/>
      <c r="H12" s="217"/>
      <c r="I12" s="288"/>
      <c r="K12" s="1"/>
    </row>
    <row r="13" spans="1:11" ht="7.5" customHeight="1">
      <c r="A13" s="953" t="s">
        <v>937</v>
      </c>
      <c r="B13" s="954">
        <v>0.0980265502791057</v>
      </c>
      <c r="C13" s="954">
        <v>0.10116719120085</v>
      </c>
      <c r="D13" s="954">
        <v>0.0773131732888685</v>
      </c>
      <c r="E13" s="954">
        <v>0.108627392171884</v>
      </c>
      <c r="F13" s="954">
        <v>0.0930666437950502</v>
      </c>
      <c r="G13" s="954">
        <v>0.0977474389567031</v>
      </c>
      <c r="H13" s="954">
        <v>0.115442752399521</v>
      </c>
      <c r="I13" s="288"/>
      <c r="K13" s="1"/>
    </row>
    <row r="14" spans="1:11" ht="7.5" customHeight="1">
      <c r="A14" s="15" t="s">
        <v>807</v>
      </c>
      <c r="B14" s="745">
        <v>0.249323794659779</v>
      </c>
      <c r="C14" s="745">
        <v>0.276333635177884</v>
      </c>
      <c r="D14" s="745">
        <v>0.231546730527457</v>
      </c>
      <c r="E14" s="745">
        <v>0.298735830830979</v>
      </c>
      <c r="F14" s="745">
        <v>0.223167166668311</v>
      </c>
      <c r="G14" s="746">
        <v>0.259195862904137</v>
      </c>
      <c r="H14" s="745">
        <v>0.197455948697007</v>
      </c>
      <c r="I14" s="288"/>
      <c r="K14" s="1"/>
    </row>
    <row r="15" spans="1:11" ht="7.5" customHeight="1">
      <c r="A15" s="15" t="s">
        <v>808</v>
      </c>
      <c r="B15" s="745">
        <v>0.0909279162288757</v>
      </c>
      <c r="C15" s="745">
        <v>0.0942894666699129</v>
      </c>
      <c r="D15" s="745">
        <v>0.0722395816575863</v>
      </c>
      <c r="E15" s="745">
        <v>0.10158902428659</v>
      </c>
      <c r="F15" s="745">
        <v>0.0904026505584696</v>
      </c>
      <c r="G15" s="746">
        <v>0.0916406521358508</v>
      </c>
      <c r="H15" s="745">
        <v>0.10613501682345</v>
      </c>
      <c r="I15" s="288"/>
      <c r="K15" s="1"/>
    </row>
    <row r="16" spans="1:11" ht="7.5" customHeight="1">
      <c r="A16" s="15"/>
      <c r="B16" s="745"/>
      <c r="C16" s="745"/>
      <c r="D16" s="745"/>
      <c r="E16" s="745"/>
      <c r="F16" s="745"/>
      <c r="G16" s="746"/>
      <c r="H16" s="745"/>
      <c r="I16" s="288"/>
      <c r="K16" s="1"/>
    </row>
    <row r="17" spans="1:11" ht="7.5" customHeight="1">
      <c r="A17" s="15" t="s">
        <v>809</v>
      </c>
      <c r="B17" s="745">
        <v>0.0932021268320198</v>
      </c>
      <c r="C17" s="745">
        <v>0.0964268018203291</v>
      </c>
      <c r="D17" s="745">
        <v>0.0735074601511841</v>
      </c>
      <c r="E17" s="745">
        <v>0.103646728683173</v>
      </c>
      <c r="F17" s="745">
        <v>0.091317226084324</v>
      </c>
      <c r="G17" s="746">
        <v>0.0935325431868721</v>
      </c>
      <c r="H17" s="745">
        <v>0.10900254403002</v>
      </c>
      <c r="I17" s="288"/>
      <c r="K17" s="1"/>
    </row>
    <row r="18" spans="1:11" ht="7.5" customHeight="1">
      <c r="A18" s="15" t="s">
        <v>810</v>
      </c>
      <c r="B18" s="745">
        <v>0.280852459610357</v>
      </c>
      <c r="C18" s="745">
        <v>0.314311600818253</v>
      </c>
      <c r="D18" s="745">
        <v>0.269357302426393</v>
      </c>
      <c r="E18" s="745">
        <v>0.346367397684967</v>
      </c>
      <c r="F18" s="745">
        <v>0.244490595616516</v>
      </c>
      <c r="G18" s="746">
        <v>0.294092797083106</v>
      </c>
      <c r="H18" s="745">
        <v>0.2168795234142</v>
      </c>
      <c r="I18" s="288"/>
      <c r="K18" s="1"/>
    </row>
    <row r="19" spans="1:11" ht="7.5" customHeight="1" thickBot="1">
      <c r="A19" s="843"/>
      <c r="B19" s="843"/>
      <c r="C19" s="843"/>
      <c r="D19" s="843"/>
      <c r="E19" s="843"/>
      <c r="F19" s="843"/>
      <c r="G19" s="843"/>
      <c r="H19" s="843"/>
      <c r="I19" s="10"/>
      <c r="K19" s="1"/>
    </row>
    <row r="20" spans="1:11" ht="7.5" customHeight="1">
      <c r="A20" s="74" t="s">
        <v>791</v>
      </c>
      <c r="B20" s="15"/>
      <c r="C20" s="15"/>
      <c r="D20" s="15"/>
      <c r="E20" s="15"/>
      <c r="F20" s="15"/>
      <c r="G20" s="15"/>
      <c r="H20" s="15"/>
      <c r="I20" s="174"/>
      <c r="K20" s="1"/>
    </row>
    <row r="21" spans="1:16" ht="7.5" customHeight="1">
      <c r="A21" s="325" t="s">
        <v>936</v>
      </c>
      <c r="B21" s="10"/>
      <c r="C21" s="10"/>
      <c r="D21" s="10"/>
      <c r="E21" s="10"/>
      <c r="F21" s="10"/>
      <c r="G21" s="10"/>
      <c r="H21" s="10"/>
      <c r="I21" s="10"/>
      <c r="J21" s="106"/>
      <c r="K21" s="1"/>
      <c r="L21" s="13"/>
      <c r="M21" s="13"/>
      <c r="N21" s="13"/>
      <c r="O21" s="13"/>
      <c r="P21" s="13"/>
    </row>
    <row r="22" ht="7.5" customHeight="1"/>
    <row r="23" ht="7.5" customHeight="1"/>
    <row r="24" ht="7.5" customHeight="1"/>
    <row r="25" ht="7.5" customHeight="1"/>
    <row r="26" ht="7.5" customHeight="1"/>
    <row r="27" ht="7.5" customHeight="1"/>
    <row r="28" ht="7.5" customHeight="1"/>
    <row r="29" ht="7.5" customHeight="1"/>
    <row r="30" ht="7.5" customHeight="1"/>
    <row r="31" ht="7.5" customHeight="1"/>
    <row r="32" ht="7.5" customHeight="1"/>
    <row r="33" ht="7.5" customHeight="1"/>
    <row r="34" ht="7.5" customHeight="1"/>
    <row r="35" ht="7.5" customHeight="1"/>
  </sheetData>
  <sheetProtection/>
  <mergeCells count="2">
    <mergeCell ref="A1:H1"/>
    <mergeCell ref="A2:H2"/>
  </mergeCells>
  <printOptions/>
  <pageMargins left="0.5905511811023623"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5"/>
  <sheetViews>
    <sheetView zoomScalePageLayoutView="0" workbookViewId="0" topLeftCell="A1">
      <selection activeCell="A1" sqref="A1"/>
    </sheetView>
  </sheetViews>
  <sheetFormatPr defaultColWidth="11.421875" defaultRowHeight="15"/>
  <cols>
    <col min="1" max="1" width="50.7109375" style="0" customWidth="1"/>
    <col min="2" max="2" width="10.7109375" style="0" customWidth="1"/>
    <col min="3" max="3" width="3.7109375" style="0" customWidth="1"/>
    <col min="4" max="4" width="50.7109375" style="0" customWidth="1"/>
    <col min="5" max="5" width="10.7109375" style="0" customWidth="1"/>
  </cols>
  <sheetData>
    <row r="1" spans="1:5" ht="12.75" customHeight="1">
      <c r="A1" s="794" t="s">
        <v>13</v>
      </c>
      <c r="B1" s="794">
        <v>34</v>
      </c>
      <c r="C1" s="243"/>
      <c r="D1" s="794" t="s">
        <v>402</v>
      </c>
      <c r="E1" s="794">
        <f>B16+1</f>
        <v>46</v>
      </c>
    </row>
    <row r="2" spans="1:5" ht="12.75" customHeight="1">
      <c r="A2" s="436" t="s">
        <v>102</v>
      </c>
      <c r="B2" s="81">
        <f>B1</f>
        <v>34</v>
      </c>
      <c r="C2" s="243"/>
      <c r="D2" s="436" t="s">
        <v>443</v>
      </c>
      <c r="E2" s="81">
        <f>E1</f>
        <v>46</v>
      </c>
    </row>
    <row r="3" spans="1:5" ht="12.75" customHeight="1">
      <c r="A3" s="436" t="s">
        <v>686</v>
      </c>
      <c r="B3" s="81">
        <f>B2+1</f>
        <v>35</v>
      </c>
      <c r="C3" s="243"/>
      <c r="D3" s="436" t="s">
        <v>444</v>
      </c>
      <c r="E3" s="81">
        <f>E2+1</f>
        <v>47</v>
      </c>
    </row>
    <row r="4" spans="1:5" ht="12.75" customHeight="1">
      <c r="A4" s="436" t="s">
        <v>14</v>
      </c>
      <c r="B4" s="81">
        <f>B3+1</f>
        <v>36</v>
      </c>
      <c r="C4" s="243"/>
      <c r="D4" s="436" t="s">
        <v>445</v>
      </c>
      <c r="E4" s="81">
        <f>E3+1</f>
        <v>48</v>
      </c>
    </row>
    <row r="5" spans="1:5" ht="12.75" customHeight="1">
      <c r="A5" s="794" t="s">
        <v>76</v>
      </c>
      <c r="B5" s="794">
        <f>B4+1</f>
        <v>37</v>
      </c>
      <c r="C5" s="243"/>
      <c r="D5" s="436" t="s">
        <v>446</v>
      </c>
      <c r="E5" s="81">
        <f>E4+1</f>
        <v>49</v>
      </c>
    </row>
    <row r="6" spans="1:5" ht="12.75" customHeight="1">
      <c r="A6" s="436" t="s">
        <v>811</v>
      </c>
      <c r="B6" s="81">
        <f>B5</f>
        <v>37</v>
      </c>
      <c r="C6" s="243"/>
      <c r="D6" s="436" t="s">
        <v>447</v>
      </c>
      <c r="E6" s="81">
        <f>E5+1</f>
        <v>50</v>
      </c>
    </row>
    <row r="7" spans="1:5" ht="12.75" customHeight="1">
      <c r="A7" s="436" t="s">
        <v>812</v>
      </c>
      <c r="B7" s="81">
        <f>B6+1</f>
        <v>38</v>
      </c>
      <c r="C7" s="243"/>
      <c r="D7" s="436" t="s">
        <v>449</v>
      </c>
      <c r="E7" s="81">
        <f>E6+1</f>
        <v>51</v>
      </c>
    </row>
    <row r="8" spans="1:3" ht="12.75" customHeight="1">
      <c r="A8" s="794" t="s">
        <v>95</v>
      </c>
      <c r="B8" s="794">
        <f aca="true" t="shared" si="0" ref="B8:B16">B7+1</f>
        <v>39</v>
      </c>
      <c r="C8" s="243"/>
    </row>
    <row r="9" spans="1:5" ht="12.75" customHeight="1">
      <c r="A9" s="436" t="s">
        <v>97</v>
      </c>
      <c r="B9" s="81">
        <f>B8</f>
        <v>39</v>
      </c>
      <c r="C9" s="243"/>
      <c r="D9" s="794" t="s">
        <v>103</v>
      </c>
      <c r="E9" s="794">
        <f>E7+1</f>
        <v>52</v>
      </c>
    </row>
    <row r="10" spans="1:5" ht="12.75" customHeight="1">
      <c r="A10" s="436" t="s">
        <v>99</v>
      </c>
      <c r="B10" s="81">
        <f t="shared" si="0"/>
        <v>40</v>
      </c>
      <c r="C10" s="243"/>
      <c r="D10" s="243"/>
      <c r="E10" s="243"/>
    </row>
    <row r="11" spans="1:5" ht="12.75" customHeight="1">
      <c r="A11" s="436" t="s">
        <v>101</v>
      </c>
      <c r="B11" s="81">
        <f t="shared" si="0"/>
        <v>41</v>
      </c>
      <c r="C11" s="243"/>
      <c r="D11" s="794" t="s">
        <v>59</v>
      </c>
      <c r="E11" s="794">
        <f>E9+2</f>
        <v>54</v>
      </c>
    </row>
    <row r="12" spans="1:5" ht="12.75" customHeight="1">
      <c r="A12" s="436" t="s">
        <v>290</v>
      </c>
      <c r="B12" s="81">
        <f t="shared" si="0"/>
        <v>42</v>
      </c>
      <c r="C12" s="243"/>
      <c r="D12" s="81"/>
      <c r="E12" s="81"/>
    </row>
    <row r="13" spans="1:5" ht="12.75" customHeight="1">
      <c r="A13" s="794" t="s">
        <v>15</v>
      </c>
      <c r="B13" s="794">
        <f t="shared" si="0"/>
        <v>43</v>
      </c>
      <c r="C13" s="243"/>
      <c r="D13" s="794" t="s">
        <v>882</v>
      </c>
      <c r="E13" s="794">
        <f>+E11+1</f>
        <v>55</v>
      </c>
    </row>
    <row r="14" spans="1:5" ht="12.75" customHeight="1">
      <c r="A14" s="436" t="s">
        <v>90</v>
      </c>
      <c r="B14" s="81">
        <f>B13</f>
        <v>43</v>
      </c>
      <c r="C14" s="243"/>
      <c r="D14" s="81"/>
      <c r="E14" s="81"/>
    </row>
    <row r="15" spans="1:5" ht="12.75" customHeight="1">
      <c r="A15" s="436" t="s">
        <v>91</v>
      </c>
      <c r="B15" s="81">
        <f t="shared" si="0"/>
        <v>44</v>
      </c>
      <c r="C15" s="243"/>
      <c r="D15" s="81"/>
      <c r="E15" s="81"/>
    </row>
    <row r="16" spans="1:5" ht="12.75" customHeight="1">
      <c r="A16" s="436" t="s">
        <v>926</v>
      </c>
      <c r="B16" s="81">
        <f t="shared" si="0"/>
        <v>45</v>
      </c>
      <c r="C16" s="243"/>
      <c r="D16" s="81"/>
      <c r="E16" s="81"/>
    </row>
    <row r="17" spans="3:5" ht="12.75" customHeight="1">
      <c r="C17" s="243"/>
      <c r="D17" s="81"/>
      <c r="E17" s="81"/>
    </row>
    <row r="18" spans="3:5" ht="12.75" customHeight="1">
      <c r="C18" s="243"/>
      <c r="D18" s="81"/>
      <c r="E18" s="81"/>
    </row>
    <row r="19" spans="3:5" ht="12.75" customHeight="1">
      <c r="C19" s="243"/>
      <c r="D19" s="81"/>
      <c r="E19" s="81"/>
    </row>
    <row r="20" spans="3:5" ht="12.75" customHeight="1">
      <c r="C20" s="243"/>
      <c r="D20" s="243"/>
      <c r="E20" s="243"/>
    </row>
    <row r="21" ht="12.75" customHeight="1">
      <c r="C21" s="243"/>
    </row>
    <row r="22" ht="12.75" customHeight="1">
      <c r="C22" s="243"/>
    </row>
    <row r="23" ht="12.75" customHeight="1">
      <c r="C23" s="243"/>
    </row>
    <row r="24" spans="2:3" ht="12.75" customHeight="1">
      <c r="B24" s="326"/>
      <c r="C24" s="243"/>
    </row>
    <row r="25" spans="1:5" ht="12.75" customHeight="1">
      <c r="A25" s="81"/>
      <c r="B25" s="83"/>
      <c r="C25" s="243"/>
      <c r="D25" s="243"/>
      <c r="E25" s="243"/>
    </row>
    <row r="26" spans="2:6" ht="12.75" customHeight="1">
      <c r="B26" s="336"/>
      <c r="C26" s="335"/>
      <c r="D26" s="326"/>
      <c r="E26" s="326"/>
      <c r="F26" s="326"/>
    </row>
    <row r="27" spans="2:6" ht="12.75" customHeight="1">
      <c r="B27" s="83"/>
      <c r="C27" s="335"/>
      <c r="D27" s="326"/>
      <c r="E27" s="326"/>
      <c r="F27" s="326"/>
    </row>
    <row r="28" spans="2:6" ht="12.75" customHeight="1">
      <c r="B28" s="326"/>
      <c r="C28" s="335"/>
      <c r="D28" s="326"/>
      <c r="E28" s="326"/>
      <c r="F28" s="326"/>
    </row>
    <row r="29" spans="1:6" ht="12.75" customHeight="1">
      <c r="A29" s="81"/>
      <c r="B29" s="83"/>
      <c r="C29" s="335"/>
      <c r="D29" s="326"/>
      <c r="E29" s="326"/>
      <c r="F29" s="326"/>
    </row>
    <row r="30" spans="1:6" ht="12.75" customHeight="1">
      <c r="A30" s="81"/>
      <c r="B30" s="83"/>
      <c r="C30" s="335"/>
      <c r="D30" s="326"/>
      <c r="E30" s="326"/>
      <c r="F30" s="326"/>
    </row>
    <row r="31" spans="1:6" ht="12.75" customHeight="1">
      <c r="A31" s="81"/>
      <c r="B31" s="83"/>
      <c r="C31" s="335"/>
      <c r="D31" s="335"/>
      <c r="E31" s="335"/>
      <c r="F31" s="326"/>
    </row>
    <row r="32" spans="1:6" ht="12.75" customHeight="1">
      <c r="A32" s="81"/>
      <c r="B32" s="83"/>
      <c r="C32" s="335"/>
      <c r="D32" s="336"/>
      <c r="E32" s="336"/>
      <c r="F32" s="326"/>
    </row>
    <row r="33" spans="2:6" ht="12.75" customHeight="1">
      <c r="B33" s="326"/>
      <c r="C33" s="335"/>
      <c r="D33" s="335"/>
      <c r="E33" s="335"/>
      <c r="F33" s="326"/>
    </row>
    <row r="34" spans="3:6" ht="12.75" customHeight="1">
      <c r="C34" s="335"/>
      <c r="D34" s="336"/>
      <c r="E34" s="336"/>
      <c r="F34" s="326"/>
    </row>
    <row r="35" spans="3:6" ht="15">
      <c r="C35" s="326"/>
      <c r="D35" s="326"/>
      <c r="E35" s="326"/>
      <c r="F35" s="326"/>
    </row>
  </sheetData>
  <sheetProtection/>
  <hyperlinks>
    <hyperlink ref="A2" location="'page 33 Enfance'!A1" display="Accueil des enfants d’âge préscolaire"/>
    <hyperlink ref="A3" location="'page 34 Enfance'!A1" display="Accueil collectif de mineursavec hébergement"/>
    <hyperlink ref="A4" location="'page 35 Enfance'!A1" display="Protection de l'enfance"/>
    <hyperlink ref="A9" location="'page 40 Sport'!A1" display="Pratiques sportives"/>
    <hyperlink ref="A10" location="'page 41 sport'!A1" display="Le sport de haut niveau"/>
    <hyperlink ref="A11" location="'page 42 Sport'!A1" display="Equipements sportifs"/>
    <hyperlink ref="A12" location="'page 43 Sport'!A1" display="Emplois salariés dans des activités économiques liées au sport"/>
    <hyperlink ref="A14" location="'page 44 Diplômes'!A1" display="Diplômes délivrés dans le champ du sport et de l’animation"/>
    <hyperlink ref="A15" location="'page 45 Diplômes'!A1" display="Diplômes délivrés dans le champ des formations sociales"/>
    <hyperlink ref="A16" location="'page 46 Diplômes'!A1" display="Diplômes délivrés dans le champ des formations sanitaires"/>
    <hyperlink ref="D2" location="'page 47 Assoc'!A1" display="Créations d'associations"/>
    <hyperlink ref="D3" location="'page 48 Assoc'!A1" display="Associations employeurs"/>
    <hyperlink ref="D4" location="'page 49 Assoc'!A1" display="Effectifs salariés dans les associations"/>
    <hyperlink ref="D5" location="'page 50 Assoc'!A1" display="Emplois en équivalent temps plein dans les associations"/>
    <hyperlink ref="D6" location="'page 51 Assoc'!A1" display="Poids de l'économie sociale et solidaire dans l'emploi total"/>
    <hyperlink ref="D7" location="'page 52 Assoc'!A1" display="Poids des rémunérations brutes des associations dans l'ensemble des rémunérations"/>
    <hyperlink ref="A6" location="'page 37 Immigration'!A1" display="Immigration et origines"/>
    <hyperlink ref="A7" location="'page 38 Immigration'!A1" display="Activité et chômage de la population immigrée et étrangère"/>
  </hyperlinks>
  <printOptions/>
  <pageMargins left="0.7" right="0.7" top="0.75" bottom="0.75" header="0.3" footer="0.3"/>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dimension ref="A1:K32"/>
  <sheetViews>
    <sheetView zoomScale="140" zoomScaleNormal="140" zoomScalePageLayoutView="0" workbookViewId="0" topLeftCell="A1">
      <selection activeCell="A1" sqref="A1:H1"/>
    </sheetView>
  </sheetViews>
  <sheetFormatPr defaultColWidth="11.421875" defaultRowHeight="9.75" customHeight="1"/>
  <cols>
    <col min="1" max="1" width="23.7109375" style="20" customWidth="1"/>
    <col min="2" max="6" width="6.7109375" style="20" customWidth="1"/>
    <col min="7" max="7" width="6.8515625" style="20" customWidth="1"/>
    <col min="8" max="8" width="9.57421875" style="20" customWidth="1"/>
    <col min="9" max="9" width="6.57421875" style="279" customWidth="1"/>
    <col min="10" max="11" width="11.421875" style="279" customWidth="1"/>
    <col min="12" max="16384" width="11.421875" style="20" customWidth="1"/>
  </cols>
  <sheetData>
    <row r="1" spans="1:11" ht="15" customHeight="1">
      <c r="A1" s="1000" t="s">
        <v>185</v>
      </c>
      <c r="B1" s="1000"/>
      <c r="C1" s="1000"/>
      <c r="D1" s="1000"/>
      <c r="E1" s="1000"/>
      <c r="F1" s="1000"/>
      <c r="G1" s="1000"/>
      <c r="H1" s="1000"/>
      <c r="I1" s="739"/>
      <c r="J1" s="739"/>
      <c r="K1" s="739"/>
    </row>
    <row r="2" spans="1:8" ht="9.75" customHeight="1">
      <c r="A2" s="1002" t="s">
        <v>748</v>
      </c>
      <c r="B2" s="1002"/>
      <c r="C2" s="1002"/>
      <c r="D2" s="1002"/>
      <c r="E2" s="1002"/>
      <c r="F2" s="1002"/>
      <c r="G2" s="1002"/>
      <c r="H2" s="1002"/>
    </row>
    <row r="3" ht="7.5" customHeight="1"/>
    <row r="4" spans="1:11" s="259" customFormat="1" ht="19.5" customHeight="1">
      <c r="A4" s="20"/>
      <c r="B4" s="252" t="s">
        <v>521</v>
      </c>
      <c r="C4" s="252" t="s">
        <v>60</v>
      </c>
      <c r="D4" s="252" t="s">
        <v>523</v>
      </c>
      <c r="E4" s="252" t="s">
        <v>524</v>
      </c>
      <c r="F4" s="252" t="s">
        <v>525</v>
      </c>
      <c r="G4" s="251" t="s">
        <v>125</v>
      </c>
      <c r="H4" s="252" t="s">
        <v>126</v>
      </c>
      <c r="I4" s="313"/>
      <c r="J4" s="313"/>
      <c r="K4" s="313"/>
    </row>
    <row r="5" ht="7.5" customHeight="1"/>
    <row r="6" spans="1:8" ht="7.5" customHeight="1">
      <c r="A6" s="955" t="s">
        <v>834</v>
      </c>
      <c r="B6" s="956">
        <f>SUM(B7:B9)</f>
        <v>3155.0324959380077</v>
      </c>
      <c r="C6" s="957">
        <f aca="true" t="shared" si="0" ref="C6:H6">SUM(C7:C9)</f>
        <v>2193.23297087864</v>
      </c>
      <c r="D6" s="957">
        <f t="shared" si="0"/>
        <v>1098.1957255343082</v>
      </c>
      <c r="E6" s="957">
        <f t="shared" si="0"/>
        <v>1613.4754405699287</v>
      </c>
      <c r="F6" s="957">
        <f t="shared" si="0"/>
        <v>1933.3938257717787</v>
      </c>
      <c r="G6" s="875">
        <f>SUM(B6:F6)</f>
        <v>9993.330458692664</v>
      </c>
      <c r="H6" s="957">
        <f t="shared" si="0"/>
        <v>158490.15285589301</v>
      </c>
    </row>
    <row r="7" spans="1:8" ht="7.5" customHeight="1">
      <c r="A7" s="228" t="s">
        <v>127</v>
      </c>
      <c r="B7" s="505">
        <v>1440</v>
      </c>
      <c r="C7" s="505">
        <v>981</v>
      </c>
      <c r="D7" s="505">
        <v>583</v>
      </c>
      <c r="E7" s="505">
        <v>727</v>
      </c>
      <c r="F7" s="505">
        <v>874</v>
      </c>
      <c r="G7" s="511">
        <f>SUM(B7:F7)</f>
        <v>4605</v>
      </c>
      <c r="H7" s="454">
        <v>65380</v>
      </c>
    </row>
    <row r="8" spans="1:8" ht="7.5" customHeight="1">
      <c r="A8" s="228" t="s">
        <v>128</v>
      </c>
      <c r="B8" s="505">
        <v>636.0324959380077</v>
      </c>
      <c r="C8" s="505">
        <v>375.2329708786402</v>
      </c>
      <c r="D8" s="505">
        <v>167.19572553430822</v>
      </c>
      <c r="E8" s="505">
        <v>317.47544056992876</v>
      </c>
      <c r="F8" s="505">
        <v>343.39382577177855</v>
      </c>
      <c r="G8" s="511">
        <f>SUM(B8:F8)</f>
        <v>1839.3304586926633</v>
      </c>
      <c r="H8" s="454">
        <v>40347.152855893015</v>
      </c>
    </row>
    <row r="9" spans="1:8" ht="7.5" customHeight="1">
      <c r="A9" s="228" t="s">
        <v>129</v>
      </c>
      <c r="B9" s="505">
        <v>1079</v>
      </c>
      <c r="C9" s="505">
        <v>837</v>
      </c>
      <c r="D9" s="505">
        <v>348</v>
      </c>
      <c r="E9" s="505">
        <v>569</v>
      </c>
      <c r="F9" s="505">
        <v>716</v>
      </c>
      <c r="G9" s="511">
        <f>SUM(B9:F9)</f>
        <v>3549</v>
      </c>
      <c r="H9" s="454">
        <v>52763</v>
      </c>
    </row>
    <row r="10" spans="1:8" ht="7.5" customHeight="1">
      <c r="A10" s="260"/>
      <c r="B10" s="260"/>
      <c r="C10" s="261"/>
      <c r="D10" s="261"/>
      <c r="E10" s="261"/>
      <c r="F10" s="261"/>
      <c r="G10" s="513"/>
      <c r="H10" s="261"/>
    </row>
    <row r="11" spans="1:11" ht="7.5" customHeight="1">
      <c r="A11" s="955" t="s">
        <v>835</v>
      </c>
      <c r="B11" s="956">
        <f aca="true" t="shared" si="1" ref="B11:H11">SUM(B12,B14,B16)</f>
        <v>406266</v>
      </c>
      <c r="C11" s="956">
        <f t="shared" si="1"/>
        <v>217925</v>
      </c>
      <c r="D11" s="956">
        <f t="shared" si="1"/>
        <v>91701</v>
      </c>
      <c r="E11" s="956">
        <f t="shared" si="1"/>
        <v>131614</v>
      </c>
      <c r="F11" s="956">
        <f t="shared" si="1"/>
        <v>178380</v>
      </c>
      <c r="G11" s="958">
        <f t="shared" si="1"/>
        <v>1025887</v>
      </c>
      <c r="H11" s="956">
        <f t="shared" si="1"/>
        <v>14735479</v>
      </c>
      <c r="J11" s="721"/>
      <c r="K11" s="439"/>
    </row>
    <row r="12" spans="1:11" ht="7.5" customHeight="1">
      <c r="A12" s="228" t="s">
        <v>127</v>
      </c>
      <c r="B12" s="506">
        <v>198573</v>
      </c>
      <c r="C12" s="506">
        <v>118238</v>
      </c>
      <c r="D12" s="506">
        <v>51035</v>
      </c>
      <c r="E12" s="506">
        <v>72236</v>
      </c>
      <c r="F12" s="506">
        <v>94915</v>
      </c>
      <c r="G12" s="511">
        <f>SUM(B12:F12)</f>
        <v>534997</v>
      </c>
      <c r="H12" s="454">
        <v>8069423</v>
      </c>
      <c r="J12" s="412"/>
      <c r="K12" s="281"/>
    </row>
    <row r="13" spans="1:11" ht="7.5" customHeight="1">
      <c r="A13" s="262" t="s">
        <v>130</v>
      </c>
      <c r="B13" s="507">
        <v>28.8</v>
      </c>
      <c r="C13" s="507">
        <v>28.3</v>
      </c>
      <c r="D13" s="507">
        <v>26.8</v>
      </c>
      <c r="E13" s="507">
        <v>27.8</v>
      </c>
      <c r="F13" s="507">
        <v>28.8</v>
      </c>
      <c r="G13" s="512">
        <v>28.4</v>
      </c>
      <c r="H13" s="508">
        <v>30.3</v>
      </c>
      <c r="J13" s="385"/>
      <c r="K13" s="281"/>
    </row>
    <row r="14" spans="1:11" ht="7.5" customHeight="1">
      <c r="A14" s="228" t="s">
        <v>128</v>
      </c>
      <c r="B14" s="506">
        <v>33984</v>
      </c>
      <c r="C14" s="506">
        <v>17001</v>
      </c>
      <c r="D14" s="506">
        <v>9103</v>
      </c>
      <c r="E14" s="506">
        <v>15119</v>
      </c>
      <c r="F14" s="506">
        <v>17569</v>
      </c>
      <c r="G14" s="511">
        <v>92777</v>
      </c>
      <c r="H14" s="454">
        <v>1914502</v>
      </c>
      <c r="J14" s="412"/>
      <c r="K14" s="281"/>
    </row>
    <row r="15" spans="1:11" ht="7.5" customHeight="1">
      <c r="A15" s="262" t="s">
        <v>130</v>
      </c>
      <c r="B15" s="509">
        <v>30.2</v>
      </c>
      <c r="C15" s="509">
        <v>28.1</v>
      </c>
      <c r="D15" s="509">
        <v>31.8</v>
      </c>
      <c r="E15" s="509">
        <v>27.3</v>
      </c>
      <c r="F15" s="509">
        <v>29.2</v>
      </c>
      <c r="G15" s="512">
        <v>29.3</v>
      </c>
      <c r="H15" s="510">
        <v>29.5</v>
      </c>
      <c r="J15" s="385"/>
      <c r="K15" s="281"/>
    </row>
    <row r="16" spans="1:11" ht="7.5" customHeight="1">
      <c r="A16" s="228" t="s">
        <v>129</v>
      </c>
      <c r="B16" s="506">
        <v>173709</v>
      </c>
      <c r="C16" s="506">
        <v>82686</v>
      </c>
      <c r="D16" s="506">
        <v>31563</v>
      </c>
      <c r="E16" s="506">
        <v>44259</v>
      </c>
      <c r="F16" s="506">
        <v>65896</v>
      </c>
      <c r="G16" s="511">
        <f>SUM(B16:F16)</f>
        <v>398113</v>
      </c>
      <c r="H16" s="454">
        <v>4751554</v>
      </c>
      <c r="J16" s="412"/>
      <c r="K16" s="281"/>
    </row>
    <row r="17" spans="1:11" ht="7.5" customHeight="1">
      <c r="A17" s="639" t="s">
        <v>36</v>
      </c>
      <c r="B17" s="506">
        <v>716</v>
      </c>
      <c r="C17" s="506">
        <v>635</v>
      </c>
      <c r="D17" s="506">
        <v>107</v>
      </c>
      <c r="E17" s="506">
        <v>609</v>
      </c>
      <c r="F17" s="506">
        <v>576</v>
      </c>
      <c r="G17" s="511">
        <f>SUM(B17:F17)</f>
        <v>2643</v>
      </c>
      <c r="H17" s="470">
        <v>37634</v>
      </c>
      <c r="J17" s="108"/>
      <c r="K17" s="281"/>
    </row>
    <row r="18" spans="1:11" ht="7.5" customHeight="1">
      <c r="A18" s="644" t="s">
        <v>836</v>
      </c>
      <c r="B18" s="640">
        <v>46.2</v>
      </c>
      <c r="C18" s="640">
        <v>39.5</v>
      </c>
      <c r="D18" s="640">
        <v>53.7</v>
      </c>
      <c r="E18" s="640">
        <v>52.3</v>
      </c>
      <c r="F18" s="640">
        <v>33.3</v>
      </c>
      <c r="G18" s="641">
        <v>44</v>
      </c>
      <c r="H18" s="642">
        <v>49</v>
      </c>
      <c r="J18" s="385"/>
      <c r="K18" s="281"/>
    </row>
    <row r="19" spans="1:8" ht="7.5" customHeight="1">
      <c r="A19" s="260"/>
      <c r="C19" s="261"/>
      <c r="E19" s="261"/>
      <c r="G19" s="513"/>
      <c r="H19" s="261"/>
    </row>
    <row r="20" spans="1:8" ht="7.5" customHeight="1">
      <c r="A20" s="959" t="s">
        <v>131</v>
      </c>
      <c r="B20" s="960">
        <f>B11/'page 5 Démo'!B10*100</f>
        <v>31.17681411216151</v>
      </c>
      <c r="C20" s="960">
        <f>C11/'page 5 Démo'!C10*100</f>
        <v>27.319270349518675</v>
      </c>
      <c r="D20" s="960">
        <f>D11/'page 5 Démo'!D10*100</f>
        <v>29.451097900548227</v>
      </c>
      <c r="E20" s="960">
        <f>E11/'page 5 Démo'!E10*100</f>
        <v>22.978467834439943</v>
      </c>
      <c r="F20" s="960">
        <f>F11/'page 5 Démo'!F10*100</f>
        <v>27.647198314943715</v>
      </c>
      <c r="G20" s="960">
        <f>G11/'page 5 Démo'!G10*100</f>
        <v>28.26026771977602</v>
      </c>
      <c r="H20" s="960">
        <f>H11/'page 5 Démo'!H10*100</f>
        <v>23.23871156154634</v>
      </c>
    </row>
    <row r="21" spans="1:11" s="133" customFormat="1" ht="7.5" customHeight="1">
      <c r="A21" s="644" t="s">
        <v>130</v>
      </c>
      <c r="B21" s="787">
        <v>36.4</v>
      </c>
      <c r="C21" s="787">
        <v>32.5</v>
      </c>
      <c r="D21" s="787">
        <v>36.5</v>
      </c>
      <c r="E21" s="787">
        <v>36</v>
      </c>
      <c r="F21" s="787">
        <v>30.5</v>
      </c>
      <c r="G21" s="759">
        <v>34.5</v>
      </c>
      <c r="H21" s="787">
        <v>36.23384163789413</v>
      </c>
      <c r="I21" s="281"/>
      <c r="J21" s="281"/>
      <c r="K21" s="281"/>
    </row>
    <row r="22" spans="1:8" ht="7.5" customHeight="1">
      <c r="A22" s="264"/>
      <c r="C22" s="261"/>
      <c r="E22" s="261"/>
      <c r="G22" s="513"/>
      <c r="H22" s="261"/>
    </row>
    <row r="23" spans="1:8" ht="7.5" customHeight="1">
      <c r="A23" s="955" t="s">
        <v>749</v>
      </c>
      <c r="B23" s="961"/>
      <c r="C23" s="961"/>
      <c r="D23" s="961"/>
      <c r="E23" s="962"/>
      <c r="F23" s="962"/>
      <c r="G23" s="963">
        <v>41</v>
      </c>
      <c r="H23" s="964">
        <v>1232</v>
      </c>
    </row>
    <row r="24" spans="1:8" ht="7.5" customHeight="1">
      <c r="A24" s="262" t="s">
        <v>132</v>
      </c>
      <c r="B24" s="262"/>
      <c r="C24" s="263"/>
      <c r="D24" s="263"/>
      <c r="E24" s="263"/>
      <c r="F24" s="263"/>
      <c r="G24" s="514">
        <f>2/41</f>
        <v>0.04878048780487805</v>
      </c>
      <c r="H24" s="380">
        <f>238/994</f>
        <v>0.23943661971830985</v>
      </c>
    </row>
    <row r="25" spans="1:8" ht="7.5" customHeight="1" thickBot="1">
      <c r="A25" s="965"/>
      <c r="B25" s="965"/>
      <c r="C25" s="965"/>
      <c r="D25" s="965"/>
      <c r="E25" s="965"/>
      <c r="F25" s="965"/>
      <c r="G25" s="965"/>
      <c r="H25" s="965"/>
    </row>
    <row r="26" spans="1:8" ht="7.5" customHeight="1">
      <c r="A26" s="150" t="s">
        <v>915</v>
      </c>
      <c r="B26" s="258"/>
      <c r="C26" s="258"/>
      <c r="D26" s="258"/>
      <c r="E26" s="258"/>
      <c r="F26" s="258"/>
      <c r="G26" s="258"/>
      <c r="H26" s="258"/>
    </row>
    <row r="27" spans="1:8" ht="7.5" customHeight="1">
      <c r="A27" s="150" t="s">
        <v>914</v>
      </c>
      <c r="B27" s="258"/>
      <c r="C27" s="258"/>
      <c r="D27" s="258"/>
      <c r="E27" s="258"/>
      <c r="F27" s="258"/>
      <c r="G27" s="258"/>
      <c r="H27" s="258"/>
    </row>
    <row r="28" spans="1:8" ht="7.5" customHeight="1">
      <c r="A28" s="257" t="s">
        <v>305</v>
      </c>
      <c r="B28" s="257"/>
      <c r="C28" s="257"/>
      <c r="D28" s="257"/>
      <c r="E28" s="257"/>
      <c r="F28" s="257"/>
      <c r="G28" s="257"/>
      <c r="H28" s="257"/>
    </row>
    <row r="29" spans="1:8" ht="7.5" customHeight="1">
      <c r="A29" s="257" t="s">
        <v>306</v>
      </c>
      <c r="C29" s="257"/>
      <c r="D29" s="257"/>
      <c r="E29" s="257"/>
      <c r="F29" s="257"/>
      <c r="G29" s="257"/>
      <c r="H29" s="257"/>
    </row>
    <row r="30" spans="1:8" ht="7.5" customHeight="1">
      <c r="A30" s="351" t="s">
        <v>837</v>
      </c>
      <c r="B30" s="98"/>
      <c r="C30" s="257"/>
      <c r="D30" s="257"/>
      <c r="E30" s="257"/>
      <c r="F30" s="257"/>
      <c r="G30" s="257"/>
      <c r="H30" s="257"/>
    </row>
    <row r="31" spans="1:8" ht="7.5" customHeight="1">
      <c r="A31" s="753" t="s">
        <v>838</v>
      </c>
      <c r="B31" s="257"/>
      <c r="C31" s="257"/>
      <c r="D31" s="257"/>
      <c r="E31" s="257"/>
      <c r="F31" s="257"/>
      <c r="G31" s="257"/>
      <c r="H31" s="257"/>
    </row>
    <row r="32" ht="7.5" customHeight="1">
      <c r="A32" s="98" t="s">
        <v>839</v>
      </c>
    </row>
    <row r="33" ht="7.5" customHeight="1"/>
    <row r="34" ht="7.5" customHeight="1"/>
    <row r="35" ht="7.5" customHeight="1"/>
    <row r="36" ht="7.5" customHeight="1"/>
    <row r="37" ht="7.5" customHeight="1"/>
    <row r="38" ht="7.5" customHeight="1"/>
  </sheetData>
  <sheetProtection/>
  <mergeCells count="2">
    <mergeCell ref="A1:H1"/>
    <mergeCell ref="A2:H2"/>
  </mergeCells>
  <printOptions/>
  <pageMargins left="0.5905511811023623" right="0.5905511811023623" top="0.7874015748031497" bottom="0.7874015748031497" header="0.31496062992125984" footer="0.31496062992125984"/>
  <pageSetup horizontalDpi="600" verticalDpi="600" orientation="landscape" paperSize="9" scale="79" r:id="rId1"/>
</worksheet>
</file>

<file path=xl/worksheets/sheet41.xml><?xml version="1.0" encoding="utf-8"?>
<worksheet xmlns="http://schemas.openxmlformats.org/spreadsheetml/2006/main" xmlns:r="http://schemas.openxmlformats.org/officeDocument/2006/relationships">
  <dimension ref="A1:K25"/>
  <sheetViews>
    <sheetView zoomScale="140" zoomScaleNormal="140" zoomScalePageLayoutView="0" workbookViewId="0" topLeftCell="A1">
      <selection activeCell="A1" sqref="A1:H1"/>
    </sheetView>
  </sheetViews>
  <sheetFormatPr defaultColWidth="11.421875" defaultRowHeight="9.75" customHeight="1"/>
  <cols>
    <col min="1" max="1" width="23.7109375" style="20" customWidth="1"/>
    <col min="2" max="6" width="6.7109375" style="20" customWidth="1"/>
    <col min="7" max="7" width="6.8515625" style="20" customWidth="1"/>
    <col min="8" max="8" width="9.57421875" style="20" customWidth="1"/>
    <col min="9" max="9" width="6.57421875" style="279" customWidth="1"/>
    <col min="10" max="11" width="11.421875" style="279" customWidth="1"/>
    <col min="12" max="16384" width="11.421875" style="20" customWidth="1"/>
  </cols>
  <sheetData>
    <row r="1" spans="1:11" ht="15" customHeight="1">
      <c r="A1" s="1000" t="s">
        <v>151</v>
      </c>
      <c r="B1" s="1000"/>
      <c r="C1" s="1000"/>
      <c r="D1" s="1000"/>
      <c r="E1" s="1000"/>
      <c r="F1" s="1000"/>
      <c r="G1" s="1000"/>
      <c r="H1" s="1000"/>
      <c r="I1" s="739"/>
      <c r="J1" s="281"/>
      <c r="K1" s="281"/>
    </row>
    <row r="2" spans="1:8" ht="9.75" customHeight="1">
      <c r="A2" s="1002" t="s">
        <v>750</v>
      </c>
      <c r="B2" s="1002"/>
      <c r="C2" s="1002"/>
      <c r="D2" s="1002"/>
      <c r="E2" s="1002"/>
      <c r="F2" s="1002"/>
      <c r="G2" s="1002"/>
      <c r="H2" s="1002"/>
    </row>
    <row r="3" spans="1:11" s="259" customFormat="1" ht="7.5" customHeight="1">
      <c r="A3" s="20"/>
      <c r="B3" s="20"/>
      <c r="C3" s="20"/>
      <c r="D3" s="20"/>
      <c r="E3" s="20"/>
      <c r="F3" s="20"/>
      <c r="G3" s="20"/>
      <c r="H3" s="20"/>
      <c r="I3" s="313"/>
      <c r="J3" s="313"/>
      <c r="K3" s="313"/>
    </row>
    <row r="4" spans="2:8" ht="19.5" customHeight="1">
      <c r="B4" s="346" t="s">
        <v>521</v>
      </c>
      <c r="C4" s="346" t="s">
        <v>60</v>
      </c>
      <c r="D4" s="346" t="s">
        <v>523</v>
      </c>
      <c r="E4" s="346" t="s">
        <v>524</v>
      </c>
      <c r="F4" s="346" t="s">
        <v>525</v>
      </c>
      <c r="G4" s="515" t="s">
        <v>532</v>
      </c>
      <c r="H4" s="516" t="s">
        <v>527</v>
      </c>
    </row>
    <row r="5" spans="7:8" ht="7.5" customHeight="1">
      <c r="G5" s="185"/>
      <c r="H5" s="185"/>
    </row>
    <row r="6" spans="1:8" ht="7.5" customHeight="1">
      <c r="A6" s="955" t="s">
        <v>452</v>
      </c>
      <c r="B6" s="966">
        <f>SUM(B7:B10)</f>
        <v>118</v>
      </c>
      <c r="C6" s="966">
        <f aca="true" t="shared" si="0" ref="C6:H6">SUM(C7:C10)</f>
        <v>61</v>
      </c>
      <c r="D6" s="966">
        <f t="shared" si="0"/>
        <v>14</v>
      </c>
      <c r="E6" s="966">
        <f t="shared" si="0"/>
        <v>45</v>
      </c>
      <c r="F6" s="966">
        <f t="shared" si="0"/>
        <v>43</v>
      </c>
      <c r="G6" s="967">
        <f t="shared" si="0"/>
        <v>281</v>
      </c>
      <c r="H6" s="968">
        <f t="shared" si="0"/>
        <v>6673</v>
      </c>
    </row>
    <row r="7" spans="1:8" ht="7.5" customHeight="1">
      <c r="A7" s="216" t="s">
        <v>422</v>
      </c>
      <c r="B7" s="491">
        <v>22</v>
      </c>
      <c r="C7" s="491">
        <v>6</v>
      </c>
      <c r="D7" s="491">
        <v>2</v>
      </c>
      <c r="E7" s="491">
        <v>5</v>
      </c>
      <c r="F7" s="491">
        <v>3</v>
      </c>
      <c r="G7" s="495">
        <f>SUM(B7:F7)</f>
        <v>38</v>
      </c>
      <c r="H7" s="517">
        <v>713</v>
      </c>
    </row>
    <row r="8" spans="1:8" ht="7.5" customHeight="1">
      <c r="A8" s="216" t="s">
        <v>423</v>
      </c>
      <c r="B8" s="491">
        <v>34</v>
      </c>
      <c r="C8" s="491">
        <v>22</v>
      </c>
      <c r="D8" s="491">
        <v>6</v>
      </c>
      <c r="E8" s="491">
        <v>11</v>
      </c>
      <c r="F8" s="491">
        <v>9</v>
      </c>
      <c r="G8" s="495">
        <f>SUM(B8:F8)</f>
        <v>82</v>
      </c>
      <c r="H8" s="517">
        <v>2389</v>
      </c>
    </row>
    <row r="9" spans="1:8" ht="7.5" customHeight="1">
      <c r="A9" s="216" t="s">
        <v>152</v>
      </c>
      <c r="B9" s="491">
        <v>62</v>
      </c>
      <c r="C9" s="491">
        <v>31</v>
      </c>
      <c r="D9" s="491">
        <v>6</v>
      </c>
      <c r="E9" s="491">
        <v>28</v>
      </c>
      <c r="F9" s="491">
        <v>30</v>
      </c>
      <c r="G9" s="495">
        <f>SUM(B9:F9)</f>
        <v>157</v>
      </c>
      <c r="H9" s="517">
        <v>3433</v>
      </c>
    </row>
    <row r="10" spans="1:8" ht="7.5" customHeight="1">
      <c r="A10" s="216" t="s">
        <v>153</v>
      </c>
      <c r="B10" s="491">
        <v>0</v>
      </c>
      <c r="C10" s="491">
        <v>2</v>
      </c>
      <c r="D10" s="491">
        <v>0</v>
      </c>
      <c r="E10" s="491">
        <v>1</v>
      </c>
      <c r="F10" s="491">
        <v>1</v>
      </c>
      <c r="G10" s="495">
        <f>SUM(B10:F10)</f>
        <v>4</v>
      </c>
      <c r="H10" s="517">
        <v>138</v>
      </c>
    </row>
    <row r="11" spans="2:8" ht="7.5" customHeight="1">
      <c r="B11" s="349"/>
      <c r="C11" s="349"/>
      <c r="D11" s="349"/>
      <c r="E11" s="349"/>
      <c r="F11" s="349"/>
      <c r="G11" s="518"/>
      <c r="H11" s="519"/>
    </row>
    <row r="12" spans="1:8" ht="7.5" customHeight="1">
      <c r="A12" s="955" t="s">
        <v>454</v>
      </c>
      <c r="B12" s="969">
        <v>118</v>
      </c>
      <c r="C12" s="969">
        <v>85</v>
      </c>
      <c r="D12" s="969">
        <v>28</v>
      </c>
      <c r="E12" s="969">
        <v>51</v>
      </c>
      <c r="F12" s="969">
        <v>60</v>
      </c>
      <c r="G12" s="822">
        <f>SUM(B12:F12)</f>
        <v>342</v>
      </c>
      <c r="H12" s="969">
        <v>7402</v>
      </c>
    </row>
    <row r="13" spans="1:8" ht="7.5" customHeight="1">
      <c r="A13" s="216"/>
      <c r="B13" s="349"/>
      <c r="C13" s="349"/>
      <c r="D13" s="349"/>
      <c r="E13" s="349"/>
      <c r="F13" s="349"/>
      <c r="G13" s="518"/>
      <c r="H13" s="519"/>
    </row>
    <row r="14" spans="1:8" ht="7.5" customHeight="1">
      <c r="A14" s="955" t="s">
        <v>453</v>
      </c>
      <c r="B14" s="969">
        <v>2</v>
      </c>
      <c r="C14" s="969">
        <v>4</v>
      </c>
      <c r="D14" s="969">
        <v>0</v>
      </c>
      <c r="E14" s="969">
        <v>1</v>
      </c>
      <c r="F14" s="969">
        <v>0</v>
      </c>
      <c r="G14" s="822">
        <f>SUM(B14:F14)</f>
        <v>7</v>
      </c>
      <c r="H14" s="969">
        <v>259</v>
      </c>
    </row>
    <row r="15" spans="1:8" ht="7.5" customHeight="1">
      <c r="A15" s="216"/>
      <c r="B15" s="349"/>
      <c r="C15" s="349"/>
      <c r="D15" s="349"/>
      <c r="E15" s="349"/>
      <c r="F15" s="349"/>
      <c r="G15" s="518"/>
      <c r="H15" s="519"/>
    </row>
    <row r="16" spans="1:8" ht="7.5" customHeight="1">
      <c r="A16" s="955" t="s">
        <v>424</v>
      </c>
      <c r="B16" s="970">
        <f aca="true" t="shared" si="1" ref="B16:H16">B6+B12+B14</f>
        <v>238</v>
      </c>
      <c r="C16" s="970">
        <f t="shared" si="1"/>
        <v>150</v>
      </c>
      <c r="D16" s="970">
        <f t="shared" si="1"/>
        <v>42</v>
      </c>
      <c r="E16" s="970">
        <f t="shared" si="1"/>
        <v>97</v>
      </c>
      <c r="F16" s="970">
        <f t="shared" si="1"/>
        <v>103</v>
      </c>
      <c r="G16" s="968">
        <f t="shared" si="1"/>
        <v>630</v>
      </c>
      <c r="H16" s="968">
        <f t="shared" si="1"/>
        <v>14334</v>
      </c>
    </row>
    <row r="17" spans="1:8" ht="7.5" customHeight="1">
      <c r="A17" s="216"/>
      <c r="B17" s="349"/>
      <c r="C17" s="349"/>
      <c r="D17" s="349"/>
      <c r="E17" s="349"/>
      <c r="F17" s="349"/>
      <c r="G17" s="518"/>
      <c r="H17" s="519"/>
    </row>
    <row r="18" spans="1:8" ht="7.5" customHeight="1">
      <c r="A18" s="955" t="s">
        <v>783</v>
      </c>
      <c r="B18" s="970">
        <f>SUM(B19:B22)</f>
        <v>16</v>
      </c>
      <c r="C18" s="966">
        <f aca="true" t="shared" si="2" ref="C18:H18">SUM(C19:C22)</f>
        <v>9</v>
      </c>
      <c r="D18" s="966">
        <f t="shared" si="2"/>
        <v>0</v>
      </c>
      <c r="E18" s="966">
        <f t="shared" si="2"/>
        <v>4</v>
      </c>
      <c r="F18" s="966">
        <f t="shared" si="2"/>
        <v>3</v>
      </c>
      <c r="G18" s="967">
        <f t="shared" si="2"/>
        <v>32</v>
      </c>
      <c r="H18" s="967">
        <f t="shared" si="2"/>
        <v>546</v>
      </c>
    </row>
    <row r="19" spans="1:8" ht="7.5" customHeight="1">
      <c r="A19" s="216" t="s">
        <v>154</v>
      </c>
      <c r="B19" s="491">
        <v>4</v>
      </c>
      <c r="C19" s="491">
        <v>2</v>
      </c>
      <c r="D19" s="491">
        <v>0</v>
      </c>
      <c r="E19" s="491">
        <v>0</v>
      </c>
      <c r="F19" s="491">
        <v>0</v>
      </c>
      <c r="G19" s="495">
        <f>SUM(B19:F19)</f>
        <v>6</v>
      </c>
      <c r="H19" s="517">
        <v>110</v>
      </c>
    </row>
    <row r="20" spans="1:8" ht="7.5" customHeight="1">
      <c r="A20" s="216" t="s">
        <v>751</v>
      </c>
      <c r="B20" s="491">
        <v>1</v>
      </c>
      <c r="C20" s="491">
        <v>1</v>
      </c>
      <c r="D20" s="491">
        <v>0</v>
      </c>
      <c r="E20" s="491">
        <v>1</v>
      </c>
      <c r="F20" s="491">
        <v>0</v>
      </c>
      <c r="G20" s="495">
        <f>SUM(B20:F20)</f>
        <v>3</v>
      </c>
      <c r="H20" s="517">
        <v>46</v>
      </c>
    </row>
    <row r="21" spans="1:8" ht="7.5" customHeight="1">
      <c r="A21" s="216" t="s">
        <v>784</v>
      </c>
      <c r="B21" s="491">
        <v>1</v>
      </c>
      <c r="C21" s="491">
        <v>1</v>
      </c>
      <c r="D21" s="491">
        <v>0</v>
      </c>
      <c r="E21" s="491">
        <v>1</v>
      </c>
      <c r="F21" s="491">
        <v>1</v>
      </c>
      <c r="G21" s="495">
        <v>4</v>
      </c>
      <c r="H21" s="517">
        <v>85</v>
      </c>
    </row>
    <row r="22" spans="1:8" ht="7.5" customHeight="1">
      <c r="A22" s="204" t="s">
        <v>155</v>
      </c>
      <c r="B22" s="491">
        <v>10</v>
      </c>
      <c r="C22" s="491">
        <v>5</v>
      </c>
      <c r="D22" s="491">
        <v>0</v>
      </c>
      <c r="E22" s="491">
        <v>2</v>
      </c>
      <c r="F22" s="491">
        <v>2</v>
      </c>
      <c r="G22" s="495">
        <f>SUM(B22:F22)</f>
        <v>19</v>
      </c>
      <c r="H22" s="517">
        <v>305</v>
      </c>
    </row>
    <row r="23" spans="1:8" ht="7.5" customHeight="1" thickBot="1">
      <c r="A23" s="965"/>
      <c r="B23" s="965"/>
      <c r="C23" s="965"/>
      <c r="D23" s="965"/>
      <c r="E23" s="965"/>
      <c r="F23" s="965"/>
      <c r="G23" s="965"/>
      <c r="H23" s="965"/>
    </row>
    <row r="24" spans="1:9" ht="7.5" customHeight="1">
      <c r="A24" s="44" t="s">
        <v>700</v>
      </c>
      <c r="B24" s="150"/>
      <c r="C24" s="150"/>
      <c r="D24" s="150"/>
      <c r="E24" s="150"/>
      <c r="F24" s="150"/>
      <c r="G24" s="150"/>
      <c r="H24" s="150"/>
      <c r="I24" s="281"/>
    </row>
    <row r="25" ht="7.5" customHeight="1">
      <c r="I25" s="281"/>
    </row>
    <row r="26" ht="7.5" customHeight="1"/>
    <row r="27" ht="7.5" customHeight="1"/>
    <row r="28" ht="7.5" customHeight="1"/>
    <row r="29" ht="7.5" customHeight="1"/>
    <row r="30" ht="7.5" customHeight="1"/>
    <row r="31" ht="7.5" customHeight="1"/>
    <row r="32" ht="7.5" customHeight="1"/>
    <row r="33" ht="7.5" customHeight="1"/>
    <row r="34" ht="7.5" customHeight="1"/>
    <row r="35" ht="7.5" customHeight="1"/>
    <row r="36" ht="7.5" customHeight="1"/>
    <row r="37" ht="7.5" customHeight="1"/>
  </sheetData>
  <sheetProtection/>
  <mergeCells count="2">
    <mergeCell ref="A1:H1"/>
    <mergeCell ref="A2:H2"/>
  </mergeCells>
  <printOptions/>
  <pageMargins left="0.5905511811023623" right="0.5905511811023623" top="0.7874015748031497" bottom="0.7874015748031497" header="0.31496062992125984" footer="0.31496062992125984"/>
  <pageSetup horizontalDpi="600" verticalDpi="600" orientation="landscape" paperSize="9" scale="79" r:id="rId1"/>
</worksheet>
</file>

<file path=xl/worksheets/sheet42.xml><?xml version="1.0" encoding="utf-8"?>
<worksheet xmlns="http://schemas.openxmlformats.org/spreadsheetml/2006/main" xmlns:r="http://schemas.openxmlformats.org/officeDocument/2006/relationships">
  <dimension ref="A1:M32"/>
  <sheetViews>
    <sheetView zoomScale="140" zoomScaleNormal="140" zoomScalePageLayoutView="0" workbookViewId="0" topLeftCell="A1">
      <selection activeCell="A1" sqref="A1:H1"/>
    </sheetView>
  </sheetViews>
  <sheetFormatPr defaultColWidth="11.421875" defaultRowHeight="9.75" customHeight="1"/>
  <cols>
    <col min="1" max="1" width="28.140625" style="647" customWidth="1"/>
    <col min="2" max="2" width="6.421875" style="647" customWidth="1"/>
    <col min="3" max="3" width="6.57421875" style="647" customWidth="1"/>
    <col min="4" max="4" width="6.421875" style="647" bestFit="1" customWidth="1"/>
    <col min="5" max="6" width="6.140625" style="647" customWidth="1"/>
    <col min="7" max="7" width="6.57421875" style="647" customWidth="1"/>
    <col min="8" max="8" width="9.7109375" style="647" customWidth="1"/>
    <col min="9" max="9" width="6.57421875" style="646" customWidth="1"/>
    <col min="10" max="11" width="11.421875" style="646" customWidth="1"/>
    <col min="12" max="16384" width="11.421875" style="647" customWidth="1"/>
  </cols>
  <sheetData>
    <row r="1" spans="1:13" ht="15" customHeight="1">
      <c r="A1" s="1026" t="s">
        <v>156</v>
      </c>
      <c r="B1" s="1026"/>
      <c r="C1" s="1026"/>
      <c r="D1" s="1026"/>
      <c r="E1" s="1026"/>
      <c r="F1" s="1026"/>
      <c r="G1" s="1026"/>
      <c r="H1" s="1026"/>
      <c r="I1" s="739"/>
      <c r="J1" s="281"/>
      <c r="K1" s="281"/>
      <c r="L1" s="762"/>
      <c r="M1" s="762"/>
    </row>
    <row r="2" spans="1:9" ht="9.75" customHeight="1">
      <c r="A2" s="1027" t="s">
        <v>847</v>
      </c>
      <c r="B2" s="1027"/>
      <c r="C2" s="1027"/>
      <c r="D2" s="1027"/>
      <c r="E2" s="1027"/>
      <c r="F2" s="1027"/>
      <c r="G2" s="1027"/>
      <c r="H2" s="1027"/>
      <c r="I2" s="645"/>
    </row>
    <row r="3" ht="7.5" customHeight="1">
      <c r="I3" s="648"/>
    </row>
    <row r="4" spans="2:11" ht="19.5" customHeight="1">
      <c r="B4" s="649" t="s">
        <v>521</v>
      </c>
      <c r="C4" s="649" t="s">
        <v>60</v>
      </c>
      <c r="D4" s="649" t="s">
        <v>523</v>
      </c>
      <c r="E4" s="649" t="s">
        <v>524</v>
      </c>
      <c r="F4" s="649" t="s">
        <v>525</v>
      </c>
      <c r="G4" s="650" t="s">
        <v>532</v>
      </c>
      <c r="H4" s="649" t="s">
        <v>527</v>
      </c>
      <c r="J4" s="648"/>
      <c r="K4" s="648"/>
    </row>
    <row r="5" ht="7.5" customHeight="1"/>
    <row r="6" spans="1:8" ht="7.5" customHeight="1">
      <c r="A6" s="971" t="s">
        <v>455</v>
      </c>
      <c r="B6" s="972">
        <v>1241</v>
      </c>
      <c r="C6" s="972">
        <v>804</v>
      </c>
      <c r="D6" s="972">
        <v>488</v>
      </c>
      <c r="E6" s="972">
        <v>1163</v>
      </c>
      <c r="F6" s="972">
        <v>896</v>
      </c>
      <c r="G6" s="972">
        <v>4592</v>
      </c>
      <c r="H6" s="972">
        <v>58499</v>
      </c>
    </row>
    <row r="7" spans="1:9" ht="7.5" customHeight="1">
      <c r="A7" s="651" t="s">
        <v>848</v>
      </c>
      <c r="B7" s="660">
        <v>474</v>
      </c>
      <c r="C7" s="661">
        <v>257</v>
      </c>
      <c r="D7" s="661">
        <v>213</v>
      </c>
      <c r="E7" s="661">
        <v>264</v>
      </c>
      <c r="F7" s="661">
        <v>210</v>
      </c>
      <c r="G7" s="662">
        <f>SUM(B7:F7)</f>
        <v>1418</v>
      </c>
      <c r="H7" s="663">
        <v>11654</v>
      </c>
      <c r="I7" s="648"/>
    </row>
    <row r="8" spans="1:9" ht="7.5" customHeight="1">
      <c r="A8" s="651" t="s">
        <v>849</v>
      </c>
      <c r="B8" s="652">
        <v>602</v>
      </c>
      <c r="C8" s="652">
        <v>447</v>
      </c>
      <c r="D8" s="652">
        <v>212</v>
      </c>
      <c r="E8" s="652">
        <v>809</v>
      </c>
      <c r="F8" s="652">
        <v>617</v>
      </c>
      <c r="G8" s="662">
        <f>SUM(B8:F8)</f>
        <v>2687</v>
      </c>
      <c r="H8" s="653">
        <v>28813</v>
      </c>
      <c r="I8" s="648"/>
    </row>
    <row r="9" spans="1:9" ht="7.5" customHeight="1">
      <c r="A9" s="651" t="s">
        <v>850</v>
      </c>
      <c r="B9" s="660">
        <v>5</v>
      </c>
      <c r="C9" s="661">
        <v>1</v>
      </c>
      <c r="D9" s="661">
        <v>0</v>
      </c>
      <c r="E9" s="661">
        <v>0</v>
      </c>
      <c r="F9" s="661">
        <v>15</v>
      </c>
      <c r="G9" s="662">
        <f>SUM(B9:F9)</f>
        <v>21</v>
      </c>
      <c r="H9" s="661">
        <v>67</v>
      </c>
      <c r="I9" s="648"/>
    </row>
    <row r="10" spans="1:9" ht="7.5" customHeight="1">
      <c r="A10" s="654"/>
      <c r="B10" s="664"/>
      <c r="C10" s="665"/>
      <c r="D10" s="666"/>
      <c r="E10" s="665"/>
      <c r="F10" s="665"/>
      <c r="G10" s="667"/>
      <c r="H10" s="665"/>
      <c r="I10" s="648"/>
    </row>
    <row r="11" spans="1:8" ht="7.5" customHeight="1">
      <c r="A11" s="971" t="s">
        <v>157</v>
      </c>
      <c r="B11" s="973">
        <v>5262</v>
      </c>
      <c r="C11" s="973">
        <v>4657</v>
      </c>
      <c r="D11" s="973">
        <v>2065</v>
      </c>
      <c r="E11" s="973">
        <v>3624</v>
      </c>
      <c r="F11" s="973">
        <v>2771</v>
      </c>
      <c r="G11" s="974">
        <v>18379</v>
      </c>
      <c r="H11" s="975">
        <v>264889</v>
      </c>
    </row>
    <row r="12" spans="1:9" ht="7.5" customHeight="1">
      <c r="A12" s="651" t="s">
        <v>851</v>
      </c>
      <c r="B12" s="652">
        <v>786</v>
      </c>
      <c r="C12" s="652">
        <v>826</v>
      </c>
      <c r="D12" s="652">
        <v>457</v>
      </c>
      <c r="E12" s="652">
        <v>618</v>
      </c>
      <c r="F12" s="652">
        <v>523</v>
      </c>
      <c r="G12" s="668">
        <f>SUM(B12:F12)</f>
        <v>3210</v>
      </c>
      <c r="H12" s="653">
        <v>44195</v>
      </c>
      <c r="I12" s="648"/>
    </row>
    <row r="13" spans="1:9" ht="7.5" customHeight="1">
      <c r="A13" s="651" t="s">
        <v>852</v>
      </c>
      <c r="B13" s="652">
        <v>675</v>
      </c>
      <c r="C13" s="652">
        <v>522</v>
      </c>
      <c r="D13" s="652">
        <v>227</v>
      </c>
      <c r="E13" s="652">
        <v>372</v>
      </c>
      <c r="F13" s="652">
        <v>383</v>
      </c>
      <c r="G13" s="668">
        <f>SUM(B13:F13)</f>
        <v>2179</v>
      </c>
      <c r="H13" s="653">
        <v>41399</v>
      </c>
      <c r="I13" s="648"/>
    </row>
    <row r="14" spans="1:9" ht="7.5" customHeight="1">
      <c r="A14" s="656" t="s">
        <v>853</v>
      </c>
      <c r="B14" s="669">
        <v>123</v>
      </c>
      <c r="C14" s="670">
        <v>82</v>
      </c>
      <c r="D14" s="670">
        <v>44</v>
      </c>
      <c r="E14" s="670">
        <v>52</v>
      </c>
      <c r="F14" s="670">
        <v>63</v>
      </c>
      <c r="G14" s="761">
        <f aca="true" t="shared" si="0" ref="G14:G25">SUM(B14:F14)</f>
        <v>364</v>
      </c>
      <c r="H14" s="671">
        <v>5731</v>
      </c>
      <c r="I14" s="648"/>
    </row>
    <row r="15" spans="1:9" ht="7.5" customHeight="1">
      <c r="A15" s="660" t="s">
        <v>854</v>
      </c>
      <c r="B15" s="652">
        <v>121</v>
      </c>
      <c r="C15" s="652">
        <v>107</v>
      </c>
      <c r="D15" s="652">
        <v>36</v>
      </c>
      <c r="E15" s="652">
        <v>86</v>
      </c>
      <c r="F15" s="652">
        <v>74</v>
      </c>
      <c r="G15" s="668">
        <f t="shared" si="0"/>
        <v>424</v>
      </c>
      <c r="H15" s="653">
        <v>6019</v>
      </c>
      <c r="I15" s="648"/>
    </row>
    <row r="16" spans="1:9" s="646" customFormat="1" ht="7.5" customHeight="1">
      <c r="A16" s="669" t="s">
        <v>855</v>
      </c>
      <c r="B16" s="669">
        <v>4</v>
      </c>
      <c r="C16" s="670">
        <v>1</v>
      </c>
      <c r="D16" s="670">
        <v>0</v>
      </c>
      <c r="E16" s="670">
        <v>0</v>
      </c>
      <c r="F16" s="670">
        <v>1</v>
      </c>
      <c r="G16" s="761">
        <f t="shared" si="0"/>
        <v>6</v>
      </c>
      <c r="H16" s="671">
        <v>129</v>
      </c>
      <c r="I16" s="648"/>
    </row>
    <row r="17" spans="1:9" s="646" customFormat="1" ht="7.5" customHeight="1">
      <c r="A17" s="651" t="s">
        <v>856</v>
      </c>
      <c r="B17" s="660">
        <v>491</v>
      </c>
      <c r="C17" s="661">
        <v>346</v>
      </c>
      <c r="D17" s="661">
        <v>148</v>
      </c>
      <c r="E17" s="661">
        <v>162</v>
      </c>
      <c r="F17" s="661">
        <v>280</v>
      </c>
      <c r="G17" s="668">
        <f t="shared" si="0"/>
        <v>1427</v>
      </c>
      <c r="H17" s="663">
        <v>17685</v>
      </c>
      <c r="I17" s="648"/>
    </row>
    <row r="18" spans="1:9" s="646" customFormat="1" ht="7.5" customHeight="1">
      <c r="A18" s="660" t="s">
        <v>857</v>
      </c>
      <c r="B18" s="660">
        <v>91</v>
      </c>
      <c r="C18" s="661">
        <v>82</v>
      </c>
      <c r="D18" s="661">
        <v>27</v>
      </c>
      <c r="E18" s="661">
        <v>62</v>
      </c>
      <c r="F18" s="661">
        <v>64</v>
      </c>
      <c r="G18" s="668">
        <f t="shared" si="0"/>
        <v>326</v>
      </c>
      <c r="H18" s="663">
        <v>6181</v>
      </c>
      <c r="I18" s="648"/>
    </row>
    <row r="19" spans="1:9" s="646" customFormat="1" ht="7.5" customHeight="1">
      <c r="A19" s="651" t="s">
        <v>858</v>
      </c>
      <c r="B19" s="660">
        <v>64</v>
      </c>
      <c r="C19" s="661">
        <v>42</v>
      </c>
      <c r="D19" s="661">
        <v>23</v>
      </c>
      <c r="E19" s="661">
        <v>23</v>
      </c>
      <c r="F19" s="661">
        <v>29</v>
      </c>
      <c r="G19" s="668">
        <f t="shared" si="0"/>
        <v>181</v>
      </c>
      <c r="H19" s="663">
        <v>2413</v>
      </c>
      <c r="I19" s="648"/>
    </row>
    <row r="20" spans="1:9" s="646" customFormat="1" ht="7.5" customHeight="1">
      <c r="A20" s="651" t="s">
        <v>859</v>
      </c>
      <c r="B20" s="660">
        <v>383</v>
      </c>
      <c r="C20" s="661">
        <v>254</v>
      </c>
      <c r="D20" s="661">
        <v>186</v>
      </c>
      <c r="E20" s="661">
        <v>269</v>
      </c>
      <c r="F20" s="661">
        <v>129</v>
      </c>
      <c r="G20" s="668">
        <f t="shared" si="0"/>
        <v>1221</v>
      </c>
      <c r="H20" s="663">
        <v>20941</v>
      </c>
      <c r="I20" s="648"/>
    </row>
    <row r="21" spans="1:9" s="646" customFormat="1" ht="7.5" customHeight="1">
      <c r="A21" s="651" t="s">
        <v>860</v>
      </c>
      <c r="B21" s="660">
        <v>334</v>
      </c>
      <c r="C21" s="661">
        <v>181</v>
      </c>
      <c r="D21" s="661">
        <v>50</v>
      </c>
      <c r="E21" s="661">
        <v>205</v>
      </c>
      <c r="F21" s="661">
        <v>121</v>
      </c>
      <c r="G21" s="668">
        <f t="shared" si="0"/>
        <v>891</v>
      </c>
      <c r="H21" s="663">
        <v>11688</v>
      </c>
      <c r="I21" s="648"/>
    </row>
    <row r="22" spans="1:9" s="646" customFormat="1" ht="7.5" customHeight="1">
      <c r="A22" s="651" t="s">
        <v>861</v>
      </c>
      <c r="B22" s="652">
        <v>421</v>
      </c>
      <c r="C22" s="652">
        <v>801</v>
      </c>
      <c r="D22" s="652">
        <v>418</v>
      </c>
      <c r="E22" s="652">
        <v>565</v>
      </c>
      <c r="F22" s="652">
        <v>263</v>
      </c>
      <c r="G22" s="668">
        <f t="shared" si="0"/>
        <v>2468</v>
      </c>
      <c r="H22" s="653">
        <v>27773</v>
      </c>
      <c r="I22" s="648"/>
    </row>
    <row r="23" spans="1:9" s="646" customFormat="1" ht="7.5" customHeight="1">
      <c r="A23" s="656" t="s">
        <v>862</v>
      </c>
      <c r="B23" s="669">
        <v>52</v>
      </c>
      <c r="C23" s="670">
        <v>322</v>
      </c>
      <c r="D23" s="670">
        <v>1</v>
      </c>
      <c r="E23" s="670">
        <v>38</v>
      </c>
      <c r="F23" s="670">
        <v>76</v>
      </c>
      <c r="G23" s="761">
        <f t="shared" si="0"/>
        <v>489</v>
      </c>
      <c r="H23" s="670">
        <v>766</v>
      </c>
      <c r="I23" s="648"/>
    </row>
    <row r="24" spans="1:9" s="646" customFormat="1" ht="7.5" customHeight="1">
      <c r="A24" s="651" t="s">
        <v>863</v>
      </c>
      <c r="B24" s="660">
        <v>9</v>
      </c>
      <c r="C24" s="661">
        <v>5</v>
      </c>
      <c r="D24" s="661">
        <v>2</v>
      </c>
      <c r="E24" s="661">
        <v>3</v>
      </c>
      <c r="F24" s="661">
        <v>6</v>
      </c>
      <c r="G24" s="668">
        <f t="shared" si="0"/>
        <v>25</v>
      </c>
      <c r="H24" s="663">
        <v>457</v>
      </c>
      <c r="I24" s="648"/>
    </row>
    <row r="25" spans="1:9" s="646" customFormat="1" ht="7.5" customHeight="1">
      <c r="A25" s="651" t="s">
        <v>864</v>
      </c>
      <c r="B25" s="660">
        <v>85</v>
      </c>
      <c r="C25" s="661">
        <v>47</v>
      </c>
      <c r="D25" s="661">
        <v>19</v>
      </c>
      <c r="E25" s="661">
        <v>41</v>
      </c>
      <c r="F25" s="661">
        <v>49</v>
      </c>
      <c r="G25" s="668">
        <f t="shared" si="0"/>
        <v>241</v>
      </c>
      <c r="H25" s="663">
        <v>3020</v>
      </c>
      <c r="I25" s="648"/>
    </row>
    <row r="26" spans="1:9" s="646" customFormat="1" ht="7.5" customHeight="1">
      <c r="A26" s="654"/>
      <c r="B26" s="654"/>
      <c r="C26" s="647"/>
      <c r="D26" s="655"/>
      <c r="E26" s="655"/>
      <c r="F26" s="647"/>
      <c r="G26" s="657"/>
      <c r="H26" s="655"/>
      <c r="I26" s="648"/>
    </row>
    <row r="27" spans="1:8" s="646" customFormat="1" ht="7.5" customHeight="1">
      <c r="A27" s="971" t="s">
        <v>456</v>
      </c>
      <c r="B27" s="972">
        <f>B6+B11</f>
        <v>6503</v>
      </c>
      <c r="C27" s="972">
        <f aca="true" t="shared" si="1" ref="C27:H27">C6+C11</f>
        <v>5461</v>
      </c>
      <c r="D27" s="972">
        <f t="shared" si="1"/>
        <v>2553</v>
      </c>
      <c r="E27" s="972">
        <f t="shared" si="1"/>
        <v>4787</v>
      </c>
      <c r="F27" s="972">
        <f t="shared" si="1"/>
        <v>3667</v>
      </c>
      <c r="G27" s="972">
        <f t="shared" si="1"/>
        <v>22971</v>
      </c>
      <c r="H27" s="972">
        <f t="shared" si="1"/>
        <v>323388</v>
      </c>
    </row>
    <row r="28" spans="1:9" s="646" customFormat="1" ht="7.5" customHeight="1" thickBot="1">
      <c r="A28" s="976"/>
      <c r="B28" s="976"/>
      <c r="C28" s="976"/>
      <c r="D28" s="976"/>
      <c r="E28" s="976"/>
      <c r="F28" s="976"/>
      <c r="G28" s="976"/>
      <c r="H28" s="976"/>
      <c r="I28" s="672"/>
    </row>
    <row r="29" spans="1:9" s="646" customFormat="1" ht="7.5" customHeight="1">
      <c r="A29" s="658" t="s">
        <v>916</v>
      </c>
      <c r="B29" s="658"/>
      <c r="C29" s="658"/>
      <c r="D29" s="658"/>
      <c r="E29" s="658"/>
      <c r="F29" s="658"/>
      <c r="G29" s="658"/>
      <c r="H29" s="658"/>
      <c r="I29" s="672"/>
    </row>
    <row r="30" spans="1:9" s="646" customFormat="1" ht="7.5" customHeight="1">
      <c r="A30" s="647"/>
      <c r="B30" s="647"/>
      <c r="C30" s="647"/>
      <c r="D30" s="647"/>
      <c r="E30" s="647"/>
      <c r="F30" s="647"/>
      <c r="G30" s="647"/>
      <c r="H30" s="647"/>
      <c r="I30" s="648"/>
    </row>
    <row r="31" spans="1:8" s="646" customFormat="1" ht="7.5" customHeight="1">
      <c r="A31" s="647"/>
      <c r="B31" s="647"/>
      <c r="C31" s="647"/>
      <c r="D31" s="647"/>
      <c r="E31" s="647"/>
      <c r="F31" s="647"/>
      <c r="G31" s="647"/>
      <c r="H31" s="647"/>
    </row>
    <row r="32" ht="7.5" customHeight="1">
      <c r="B32" s="659"/>
    </row>
    <row r="33" ht="7.5" customHeight="1"/>
    <row r="34" ht="7.5" customHeight="1"/>
    <row r="35" ht="7.5" customHeight="1"/>
  </sheetData>
  <sheetProtection/>
  <mergeCells count="2">
    <mergeCell ref="A1:H1"/>
    <mergeCell ref="A2:H2"/>
  </mergeCells>
  <printOptions/>
  <pageMargins left="0.5905511811023623" right="0.5905511811023623" top="0.7874015748031497" bottom="0.7874015748031497" header="0.31496062992125984" footer="0.31496062992125984"/>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L34"/>
  <sheetViews>
    <sheetView zoomScale="140" zoomScaleNormal="140" zoomScalePageLayoutView="0" workbookViewId="0" topLeftCell="A1">
      <selection activeCell="A1" sqref="A1:H1"/>
    </sheetView>
  </sheetViews>
  <sheetFormatPr defaultColWidth="11.421875" defaultRowHeight="9.75" customHeight="1"/>
  <cols>
    <col min="1" max="1" width="26.7109375" style="20" customWidth="1"/>
    <col min="2" max="3" width="6.7109375" style="20" customWidth="1"/>
    <col min="4" max="4" width="5.7109375" style="20" bestFit="1" customWidth="1"/>
    <col min="5" max="6" width="5.7109375" style="20" customWidth="1"/>
    <col min="7" max="7" width="6.8515625" style="20" customWidth="1"/>
    <col min="8" max="8" width="9.28125" style="20" customWidth="1"/>
    <col min="9" max="9" width="6.57421875" style="279" customWidth="1"/>
    <col min="10" max="11" width="11.421875" style="279" customWidth="1"/>
    <col min="12" max="16384" width="11.421875" style="20" customWidth="1"/>
  </cols>
  <sheetData>
    <row r="1" spans="1:8" ht="15" customHeight="1">
      <c r="A1" s="1000" t="s">
        <v>158</v>
      </c>
      <c r="B1" s="1000"/>
      <c r="C1" s="1000"/>
      <c r="D1" s="1000"/>
      <c r="E1" s="1000"/>
      <c r="F1" s="1000"/>
      <c r="G1" s="1000"/>
      <c r="H1" s="1000"/>
    </row>
    <row r="2" spans="1:8" ht="9.75" customHeight="1">
      <c r="A2" s="1002" t="s">
        <v>752</v>
      </c>
      <c r="B2" s="1002"/>
      <c r="C2" s="1002"/>
      <c r="D2" s="1002"/>
      <c r="E2" s="1002"/>
      <c r="F2" s="1002"/>
      <c r="G2" s="1002"/>
      <c r="H2" s="1002"/>
    </row>
    <row r="3" ht="7.5" customHeight="1"/>
    <row r="4" spans="2:8" ht="19.5" customHeight="1">
      <c r="B4" s="346" t="s">
        <v>521</v>
      </c>
      <c r="C4" s="346" t="s">
        <v>60</v>
      </c>
      <c r="D4" s="346" t="s">
        <v>523</v>
      </c>
      <c r="E4" s="346" t="s">
        <v>524</v>
      </c>
      <c r="F4" s="346" t="s">
        <v>525</v>
      </c>
      <c r="G4" s="347" t="s">
        <v>532</v>
      </c>
      <c r="H4" s="346" t="s">
        <v>527</v>
      </c>
    </row>
    <row r="5" ht="7.5" customHeight="1"/>
    <row r="6" spans="1:8" ht="7.5" customHeight="1">
      <c r="A6" s="216" t="s">
        <v>486</v>
      </c>
      <c r="B6" s="520">
        <v>322</v>
      </c>
      <c r="C6" s="520">
        <v>294</v>
      </c>
      <c r="D6" s="520">
        <v>6</v>
      </c>
      <c r="E6" s="520">
        <v>283</v>
      </c>
      <c r="F6" s="520">
        <v>163</v>
      </c>
      <c r="G6" s="522">
        <f>SUM(B6:F6)</f>
        <v>1068</v>
      </c>
      <c r="H6" s="451">
        <v>18829</v>
      </c>
    </row>
    <row r="7" spans="1:8" ht="7.5" customHeight="1">
      <c r="A7" s="216" t="s">
        <v>487</v>
      </c>
      <c r="B7" s="520">
        <v>1869</v>
      </c>
      <c r="C7" s="520">
        <v>1070</v>
      </c>
      <c r="D7" s="520">
        <v>233</v>
      </c>
      <c r="E7" s="520">
        <v>522</v>
      </c>
      <c r="F7" s="520">
        <v>771</v>
      </c>
      <c r="G7" s="522">
        <f>SUM(B7:F7)</f>
        <v>4465</v>
      </c>
      <c r="H7" s="451">
        <v>71389</v>
      </c>
    </row>
    <row r="8" spans="1:8" ht="7.5" customHeight="1">
      <c r="A8" s="216" t="s">
        <v>488</v>
      </c>
      <c r="B8" s="520">
        <v>88</v>
      </c>
      <c r="C8" s="520">
        <v>34</v>
      </c>
      <c r="D8" s="520">
        <v>6</v>
      </c>
      <c r="E8" s="520">
        <v>23</v>
      </c>
      <c r="F8" s="520">
        <v>34</v>
      </c>
      <c r="G8" s="522">
        <f>SUM(B8:F8)</f>
        <v>185</v>
      </c>
      <c r="H8" s="451">
        <v>3772</v>
      </c>
    </row>
    <row r="9" spans="1:8" ht="7.5" customHeight="1">
      <c r="A9" s="216" t="s">
        <v>489</v>
      </c>
      <c r="B9" s="520">
        <v>69</v>
      </c>
      <c r="C9" s="520">
        <v>30</v>
      </c>
      <c r="D9" s="520">
        <v>5</v>
      </c>
      <c r="E9" s="520">
        <v>35</v>
      </c>
      <c r="F9" s="520">
        <v>29</v>
      </c>
      <c r="G9" s="522">
        <f>SUM(B9:F9)</f>
        <v>168</v>
      </c>
      <c r="H9" s="451">
        <v>6316</v>
      </c>
    </row>
    <row r="10" spans="1:8" ht="7.5" customHeight="1">
      <c r="A10" s="265"/>
      <c r="B10" s="523"/>
      <c r="C10" s="185"/>
      <c r="D10" s="524"/>
      <c r="E10" s="185"/>
      <c r="F10" s="524"/>
      <c r="G10" s="185"/>
      <c r="H10" s="266"/>
    </row>
    <row r="11" spans="1:9" ht="7.5" customHeight="1">
      <c r="A11" s="216" t="s">
        <v>260</v>
      </c>
      <c r="B11" s="643">
        <v>68</v>
      </c>
      <c r="C11" s="643">
        <v>56</v>
      </c>
      <c r="D11" s="643">
        <v>18</v>
      </c>
      <c r="E11" s="643">
        <v>24</v>
      </c>
      <c r="F11" s="643">
        <v>24</v>
      </c>
      <c r="G11" s="518">
        <f>SUM(B11:F11)</f>
        <v>190</v>
      </c>
      <c r="H11" s="350">
        <v>7879</v>
      </c>
      <c r="I11" s="281"/>
    </row>
    <row r="12" spans="1:12" ht="7.5" customHeight="1">
      <c r="A12" s="955" t="s">
        <v>490</v>
      </c>
      <c r="B12" s="977">
        <f>SUM(B6:B11)</f>
        <v>2416</v>
      </c>
      <c r="C12" s="968">
        <f>SUM(C6:C11)</f>
        <v>1484</v>
      </c>
      <c r="D12" s="967">
        <f>SUM(D6:D11)</f>
        <v>268</v>
      </c>
      <c r="E12" s="968">
        <f>SUM(E6:E11)</f>
        <v>887</v>
      </c>
      <c r="F12" s="967">
        <f>SUM(F6:F11)</f>
        <v>1021</v>
      </c>
      <c r="G12" s="968">
        <f>SUM(B12:F12)</f>
        <v>6076</v>
      </c>
      <c r="H12" s="970">
        <f>SUM(H6:H11)</f>
        <v>108185</v>
      </c>
      <c r="L12" s="216"/>
    </row>
    <row r="13" spans="1:12" ht="7.5" customHeight="1">
      <c r="A13" s="267"/>
      <c r="B13" s="525"/>
      <c r="C13" s="185"/>
      <c r="D13" s="526"/>
      <c r="E13" s="185"/>
      <c r="F13" s="526"/>
      <c r="G13" s="185"/>
      <c r="H13" s="268"/>
      <c r="L13" s="216"/>
    </row>
    <row r="14" spans="1:12" ht="7.5" customHeight="1">
      <c r="A14" s="216" t="s">
        <v>491</v>
      </c>
      <c r="B14" s="521">
        <v>88</v>
      </c>
      <c r="C14" s="521">
        <v>278</v>
      </c>
      <c r="D14" s="521">
        <v>16</v>
      </c>
      <c r="E14" s="521">
        <v>13</v>
      </c>
      <c r="F14" s="521">
        <v>3532</v>
      </c>
      <c r="G14" s="488">
        <f aca="true" t="shared" si="0" ref="G14:G19">SUM(B14:F14)</f>
        <v>3927</v>
      </c>
      <c r="H14" s="451">
        <v>7259</v>
      </c>
      <c r="L14" s="216"/>
    </row>
    <row r="15" spans="1:12" ht="7.5" customHeight="1">
      <c r="A15" s="216" t="s">
        <v>261</v>
      </c>
      <c r="B15" s="521">
        <v>261</v>
      </c>
      <c r="C15" s="521">
        <v>11</v>
      </c>
      <c r="D15" s="521">
        <v>0</v>
      </c>
      <c r="E15" s="521">
        <v>3</v>
      </c>
      <c r="F15" s="521">
        <v>43</v>
      </c>
      <c r="G15" s="522">
        <f>SUM(B15:F15)</f>
        <v>318</v>
      </c>
      <c r="H15" s="451">
        <v>1758</v>
      </c>
      <c r="L15" s="216"/>
    </row>
    <row r="16" spans="1:12" ht="7.5" customHeight="1">
      <c r="A16" s="216" t="s">
        <v>492</v>
      </c>
      <c r="B16" s="521">
        <v>7</v>
      </c>
      <c r="C16" s="521">
        <v>68</v>
      </c>
      <c r="D16" s="521">
        <v>0</v>
      </c>
      <c r="E16" s="521">
        <v>8</v>
      </c>
      <c r="F16" s="521">
        <v>64</v>
      </c>
      <c r="G16" s="522">
        <f t="shared" si="0"/>
        <v>147</v>
      </c>
      <c r="H16" s="451">
        <v>4619</v>
      </c>
      <c r="L16" s="216"/>
    </row>
    <row r="17" spans="1:12" ht="7.5" customHeight="1">
      <c r="A17" s="216" t="s">
        <v>262</v>
      </c>
      <c r="B17" s="521">
        <v>982</v>
      </c>
      <c r="C17" s="521">
        <v>376</v>
      </c>
      <c r="D17" s="521">
        <v>139</v>
      </c>
      <c r="E17" s="521">
        <v>350</v>
      </c>
      <c r="F17" s="521">
        <v>478</v>
      </c>
      <c r="G17" s="522">
        <f t="shared" si="0"/>
        <v>2325</v>
      </c>
      <c r="H17" s="451">
        <v>45767</v>
      </c>
      <c r="L17" s="216"/>
    </row>
    <row r="18" spans="1:12" ht="7.5" customHeight="1">
      <c r="A18" s="216" t="s">
        <v>263</v>
      </c>
      <c r="B18" s="521">
        <v>23</v>
      </c>
      <c r="C18" s="521">
        <v>24</v>
      </c>
      <c r="D18" s="521">
        <v>2</v>
      </c>
      <c r="E18" s="521">
        <v>6</v>
      </c>
      <c r="F18" s="521">
        <v>10</v>
      </c>
      <c r="G18" s="522">
        <f t="shared" si="0"/>
        <v>65</v>
      </c>
      <c r="H18" s="451">
        <v>2412</v>
      </c>
      <c r="L18" s="216"/>
    </row>
    <row r="19" spans="1:12" ht="7.5" customHeight="1">
      <c r="A19" s="955" t="s">
        <v>493</v>
      </c>
      <c r="B19" s="978">
        <f>SUM(B14:B18)</f>
        <v>1361</v>
      </c>
      <c r="C19" s="970">
        <f>SUM(C14:C18)</f>
        <v>757</v>
      </c>
      <c r="D19" s="966">
        <f>SUM(D14:D18)</f>
        <v>157</v>
      </c>
      <c r="E19" s="966">
        <f>SUM(E14:E18)</f>
        <v>380</v>
      </c>
      <c r="F19" s="970">
        <f>SUM(F14:F18)</f>
        <v>4127</v>
      </c>
      <c r="G19" s="970">
        <f t="shared" si="0"/>
        <v>6782</v>
      </c>
      <c r="H19" s="970">
        <f>SUM(H14:H18)</f>
        <v>61815</v>
      </c>
      <c r="L19" s="216"/>
    </row>
    <row r="20" spans="1:12" ht="7.5" customHeight="1" thickBot="1">
      <c r="A20" s="965"/>
      <c r="B20" s="965"/>
      <c r="C20" s="965"/>
      <c r="D20" s="965"/>
      <c r="E20" s="965"/>
      <c r="F20" s="965"/>
      <c r="G20" s="965"/>
      <c r="H20" s="965"/>
      <c r="L20" s="216"/>
    </row>
    <row r="21" spans="1:12" ht="7.5" customHeight="1">
      <c r="A21" s="150" t="s">
        <v>159</v>
      </c>
      <c r="B21" s="150"/>
      <c r="C21" s="150"/>
      <c r="D21" s="150"/>
      <c r="E21" s="150"/>
      <c r="F21" s="150"/>
      <c r="G21" s="150"/>
      <c r="H21" s="150"/>
      <c r="L21" s="216"/>
    </row>
    <row r="22" spans="1:12" ht="18.75" customHeight="1">
      <c r="A22" s="1028" t="s">
        <v>917</v>
      </c>
      <c r="B22" s="1028"/>
      <c r="C22" s="1028"/>
      <c r="D22" s="1028"/>
      <c r="E22" s="1028"/>
      <c r="F22" s="1028"/>
      <c r="G22" s="1028"/>
      <c r="H22" s="1028"/>
      <c r="L22" s="216"/>
    </row>
    <row r="23" spans="1:12" ht="7.5" customHeight="1">
      <c r="A23" s="216"/>
      <c r="B23" s="216"/>
      <c r="C23" s="216"/>
      <c r="D23" s="216"/>
      <c r="E23" s="216"/>
      <c r="F23" s="216"/>
      <c r="G23" s="216"/>
      <c r="H23" s="216"/>
      <c r="L23" s="216"/>
    </row>
    <row r="24" ht="7.5" customHeight="1">
      <c r="L24" s="216"/>
    </row>
    <row r="25" ht="7.5" customHeight="1">
      <c r="L25" s="216"/>
    </row>
    <row r="26" ht="7.5" customHeight="1">
      <c r="L26" s="216"/>
    </row>
    <row r="27" ht="7.5" customHeight="1">
      <c r="L27" s="216"/>
    </row>
    <row r="28" ht="7.5" customHeight="1">
      <c r="L28" s="216"/>
    </row>
    <row r="29" ht="7.5" customHeight="1">
      <c r="L29" s="216"/>
    </row>
    <row r="30" ht="7.5" customHeight="1">
      <c r="L30" s="216"/>
    </row>
    <row r="31" ht="7.5" customHeight="1">
      <c r="L31" s="216"/>
    </row>
    <row r="32" ht="7.5" customHeight="1">
      <c r="L32" s="216"/>
    </row>
    <row r="33" ht="7.5" customHeight="1">
      <c r="L33" s="216"/>
    </row>
    <row r="34" ht="7.5" customHeight="1">
      <c r="L34" s="216"/>
    </row>
    <row r="35" ht="7.5" customHeight="1"/>
    <row r="36" ht="7.5" customHeight="1"/>
  </sheetData>
  <sheetProtection/>
  <mergeCells count="3">
    <mergeCell ref="A22:H22"/>
    <mergeCell ref="A1:H1"/>
    <mergeCell ref="A2:H2"/>
  </mergeCells>
  <printOptions/>
  <pageMargins left="0.5905511811023623" right="0.5905511811023623" top="0.7874015748031497" bottom="0.7874015748031497" header="0.31496062992125984" footer="0.31496062992125984"/>
  <pageSetup horizontalDpi="600" verticalDpi="600" orientation="landscape" paperSize="9" scale="79" r:id="rId1"/>
</worksheet>
</file>

<file path=xl/worksheets/sheet44.xml><?xml version="1.0" encoding="utf-8"?>
<worksheet xmlns="http://schemas.openxmlformats.org/spreadsheetml/2006/main" xmlns:r="http://schemas.openxmlformats.org/officeDocument/2006/relationships">
  <dimension ref="A1:G34"/>
  <sheetViews>
    <sheetView zoomScale="140" zoomScaleNormal="140" zoomScalePageLayoutView="0" workbookViewId="0" topLeftCell="A1">
      <selection activeCell="A1" sqref="A1:D1"/>
    </sheetView>
  </sheetViews>
  <sheetFormatPr defaultColWidth="11.421875" defaultRowHeight="9.75" customHeight="1"/>
  <cols>
    <col min="1" max="1" width="11.8515625" style="352" customWidth="1"/>
    <col min="2" max="2" width="44.7109375" style="352" customWidth="1"/>
    <col min="3" max="3" width="6.7109375" style="352" customWidth="1"/>
    <col min="4" max="4" width="9.57421875" style="352" customWidth="1"/>
    <col min="5" max="6" width="6.7109375" style="281" customWidth="1"/>
    <col min="7" max="7" width="6.8515625" style="281" customWidth="1"/>
    <col min="8" max="8" width="8.7109375" style="352" customWidth="1"/>
    <col min="9" max="16384" width="11.421875" style="352" customWidth="1"/>
  </cols>
  <sheetData>
    <row r="1" spans="1:4" ht="15" customHeight="1">
      <c r="A1" s="1000" t="s">
        <v>118</v>
      </c>
      <c r="B1" s="1000"/>
      <c r="C1" s="1000"/>
      <c r="D1" s="1000"/>
    </row>
    <row r="2" spans="1:4" ht="9.75" customHeight="1">
      <c r="A2" s="1002" t="s">
        <v>754</v>
      </c>
      <c r="B2" s="1002"/>
      <c r="C2" s="1002"/>
      <c r="D2" s="1002"/>
    </row>
    <row r="3" spans="1:4" ht="7.5" customHeight="1">
      <c r="A3" s="20"/>
      <c r="B3" s="20"/>
      <c r="C3" s="20"/>
      <c r="D3" s="20"/>
    </row>
    <row r="4" spans="1:4" ht="19.5" customHeight="1">
      <c r="A4" s="20"/>
      <c r="B4" s="20"/>
      <c r="C4" s="347" t="s">
        <v>532</v>
      </c>
      <c r="D4" s="346" t="s">
        <v>527</v>
      </c>
    </row>
    <row r="5" spans="1:4" ht="7.5" customHeight="1">
      <c r="A5" s="20"/>
      <c r="B5" s="20"/>
      <c r="C5" s="347"/>
      <c r="D5" s="346"/>
    </row>
    <row r="6" spans="1:4" ht="7.5" customHeight="1">
      <c r="A6" s="955" t="s">
        <v>756</v>
      </c>
      <c r="B6" s="955"/>
      <c r="C6" s="979">
        <f>SUM(C7:C16)</f>
        <v>1213</v>
      </c>
      <c r="D6" s="970">
        <f>SUM(D7:D16)</f>
        <v>18720</v>
      </c>
    </row>
    <row r="7" spans="1:4" ht="7.5" customHeight="1">
      <c r="A7" s="277" t="s">
        <v>119</v>
      </c>
      <c r="B7" s="277" t="s">
        <v>120</v>
      </c>
      <c r="C7" s="527">
        <v>0</v>
      </c>
      <c r="D7" s="451">
        <v>724</v>
      </c>
    </row>
    <row r="8" spans="1:4" ht="7.5" customHeight="1">
      <c r="A8" s="277" t="s">
        <v>349</v>
      </c>
      <c r="B8" s="277" t="s">
        <v>121</v>
      </c>
      <c r="C8" s="527">
        <v>0</v>
      </c>
      <c r="D8" s="451">
        <v>240</v>
      </c>
    </row>
    <row r="9" spans="1:4" ht="7.5" customHeight="1">
      <c r="A9" s="20"/>
      <c r="B9" s="276" t="s">
        <v>438</v>
      </c>
      <c r="C9" s="527">
        <v>28</v>
      </c>
      <c r="D9" s="451">
        <v>3052</v>
      </c>
    </row>
    <row r="10" spans="1:5" ht="7.5" customHeight="1">
      <c r="A10" s="20"/>
      <c r="B10" s="276" t="s">
        <v>264</v>
      </c>
      <c r="C10" s="528"/>
      <c r="D10" s="451"/>
      <c r="E10" s="352"/>
    </row>
    <row r="11" spans="1:4" ht="7.5" customHeight="1">
      <c r="A11" s="20"/>
      <c r="B11" s="345" t="s">
        <v>265</v>
      </c>
      <c r="C11" s="413">
        <v>841</v>
      </c>
      <c r="D11" s="350">
        <v>9223</v>
      </c>
    </row>
    <row r="12" spans="1:4" ht="7.5" customHeight="1">
      <c r="A12" s="277" t="s">
        <v>333</v>
      </c>
      <c r="B12" s="276" t="s">
        <v>367</v>
      </c>
      <c r="C12" s="488">
        <v>3</v>
      </c>
      <c r="D12" s="451">
        <v>40</v>
      </c>
    </row>
    <row r="13" spans="1:4" ht="7.5" customHeight="1">
      <c r="A13" s="20"/>
      <c r="B13" s="277" t="s">
        <v>439</v>
      </c>
      <c r="C13" s="527">
        <v>299</v>
      </c>
      <c r="D13" s="451">
        <v>4741</v>
      </c>
    </row>
    <row r="14" spans="1:4" ht="7.5" customHeight="1">
      <c r="A14" s="277" t="s">
        <v>341</v>
      </c>
      <c r="B14" s="277" t="s">
        <v>755</v>
      </c>
      <c r="C14" s="527">
        <v>0</v>
      </c>
      <c r="D14" s="451">
        <v>41</v>
      </c>
    </row>
    <row r="15" spans="1:4" ht="7.5" customHeight="1">
      <c r="A15" s="20"/>
      <c r="B15" s="277" t="s">
        <v>440</v>
      </c>
      <c r="C15" s="527">
        <v>37</v>
      </c>
      <c r="D15" s="451">
        <v>295</v>
      </c>
    </row>
    <row r="16" spans="2:4" ht="7.5" customHeight="1">
      <c r="B16" s="277" t="s">
        <v>441</v>
      </c>
      <c r="C16" s="527">
        <v>5</v>
      </c>
      <c r="D16" s="454">
        <v>364</v>
      </c>
    </row>
    <row r="17" spans="1:4" ht="7.5" customHeight="1">
      <c r="A17" s="20"/>
      <c r="B17" s="277"/>
      <c r="C17" s="353"/>
      <c r="D17" s="349"/>
    </row>
    <row r="18" spans="1:4" ht="7.5" customHeight="1">
      <c r="A18" s="955" t="s">
        <v>757</v>
      </c>
      <c r="B18" s="955"/>
      <c r="C18" s="979">
        <f>SUM(C19:C20)</f>
        <v>317</v>
      </c>
      <c r="D18" s="970">
        <f>SUM(D19:D20)</f>
        <v>9396</v>
      </c>
    </row>
    <row r="19" spans="1:4" ht="7.5" customHeight="1">
      <c r="A19" s="277" t="s">
        <v>333</v>
      </c>
      <c r="B19" s="277" t="s">
        <v>605</v>
      </c>
      <c r="C19" s="527">
        <v>0</v>
      </c>
      <c r="D19" s="451">
        <v>812</v>
      </c>
    </row>
    <row r="20" spans="1:4" ht="7.5" customHeight="1">
      <c r="A20" s="277" t="s">
        <v>603</v>
      </c>
      <c r="B20" s="277" t="s">
        <v>604</v>
      </c>
      <c r="C20" s="527">
        <v>317</v>
      </c>
      <c r="D20" s="451">
        <v>8584</v>
      </c>
    </row>
    <row r="21" spans="1:4" ht="7.5" customHeight="1">
      <c r="A21" s="20"/>
      <c r="B21" s="277"/>
      <c r="C21" s="353"/>
      <c r="D21" s="349"/>
    </row>
    <row r="22" spans="1:4" ht="7.5" customHeight="1">
      <c r="A22" s="955" t="s">
        <v>266</v>
      </c>
      <c r="B22" s="955"/>
      <c r="C22" s="968">
        <f>SUM(C23:C24)</f>
        <v>3156</v>
      </c>
      <c r="D22" s="970">
        <f>SUM(D23:D24)</f>
        <v>50633</v>
      </c>
    </row>
    <row r="23" spans="1:4" ht="7.5" customHeight="1">
      <c r="A23" s="20"/>
      <c r="B23" s="277" t="s">
        <v>366</v>
      </c>
      <c r="C23" s="527">
        <v>3028</v>
      </c>
      <c r="D23" s="451">
        <v>48702</v>
      </c>
    </row>
    <row r="24" spans="1:4" ht="7.5" customHeight="1">
      <c r="A24" s="20"/>
      <c r="B24" s="353" t="s">
        <v>365</v>
      </c>
      <c r="C24" s="528">
        <v>128</v>
      </c>
      <c r="D24" s="451">
        <v>1931</v>
      </c>
    </row>
    <row r="25" spans="1:4" ht="7.5" customHeight="1" thickBot="1">
      <c r="A25" s="965"/>
      <c r="B25" s="980"/>
      <c r="C25" s="980"/>
      <c r="D25" s="980"/>
    </row>
    <row r="26" spans="1:4" ht="7.5" customHeight="1">
      <c r="A26" s="150" t="s">
        <v>753</v>
      </c>
      <c r="B26" s="150"/>
      <c r="C26" s="150"/>
      <c r="D26" s="150"/>
    </row>
    <row r="27" spans="1:4" ht="7.5" customHeight="1">
      <c r="A27" s="255" t="s">
        <v>364</v>
      </c>
      <c r="B27" s="255"/>
      <c r="D27" s="256"/>
    </row>
    <row r="28" spans="1:4" ht="7.5" customHeight="1">
      <c r="A28" s="255" t="s">
        <v>360</v>
      </c>
      <c r="B28" s="255"/>
      <c r="D28" s="256"/>
    </row>
    <row r="29" spans="1:7" s="354" customFormat="1" ht="7.5" customHeight="1">
      <c r="A29" s="255" t="s">
        <v>122</v>
      </c>
      <c r="B29" s="255"/>
      <c r="C29" s="352"/>
      <c r="D29" s="256"/>
      <c r="E29" s="315"/>
      <c r="F29" s="315"/>
      <c r="G29" s="315"/>
    </row>
    <row r="30" spans="1:7" s="354" customFormat="1" ht="7.5" customHeight="1">
      <c r="A30" s="255" t="s">
        <v>358</v>
      </c>
      <c r="B30" s="255"/>
      <c r="D30" s="256"/>
      <c r="E30" s="315"/>
      <c r="F30" s="315"/>
      <c r="G30" s="315"/>
    </row>
    <row r="31" spans="1:4" ht="7.5" customHeight="1">
      <c r="A31" s="255" t="s">
        <v>361</v>
      </c>
      <c r="B31" s="20"/>
      <c r="C31" s="354"/>
      <c r="D31" s="256"/>
    </row>
    <row r="32" ht="7.5" customHeight="1">
      <c r="A32" s="255" t="s">
        <v>362</v>
      </c>
    </row>
    <row r="33" ht="7.5" customHeight="1">
      <c r="A33" s="255" t="s">
        <v>359</v>
      </c>
    </row>
    <row r="34" ht="7.5" customHeight="1">
      <c r="A34" s="255" t="s">
        <v>363</v>
      </c>
    </row>
    <row r="35" ht="7.5" customHeight="1"/>
    <row r="36" ht="7.5" customHeight="1"/>
    <row r="37" ht="7.5" customHeight="1"/>
    <row r="38" ht="7.5" customHeight="1"/>
    <row r="39" ht="7.5" customHeight="1"/>
  </sheetData>
  <sheetProtection/>
  <mergeCells count="2">
    <mergeCell ref="A1:D1"/>
    <mergeCell ref="A2:D2"/>
  </mergeCells>
  <printOptions/>
  <pageMargins left="0.5905511811023623" right="0.5905511811023623" top="0.7874015748031497" bottom="0.7874015748031497" header="0.31496062992125984" footer="0.31496062992125984"/>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dimension ref="A1:H30"/>
  <sheetViews>
    <sheetView zoomScale="140" zoomScaleNormal="140" zoomScalePageLayoutView="0" workbookViewId="0" topLeftCell="A1">
      <selection activeCell="A1" sqref="A1:E1"/>
    </sheetView>
  </sheetViews>
  <sheetFormatPr defaultColWidth="11.421875" defaultRowHeight="9.75" customHeight="1"/>
  <cols>
    <col min="1" max="1" width="11.8515625" style="250" customWidth="1"/>
    <col min="2" max="2" width="44.7109375" style="250" customWidth="1"/>
    <col min="3" max="4" width="6.7109375" style="250" customWidth="1"/>
    <col min="5" max="5" width="9.421875" style="250" customWidth="1"/>
    <col min="6" max="7" width="6.7109375" style="281" customWidth="1"/>
    <col min="8" max="8" width="6.8515625" style="281" customWidth="1"/>
    <col min="9" max="9" width="8.7109375" style="250" customWidth="1"/>
    <col min="10" max="16384" width="11.421875" style="250" customWidth="1"/>
  </cols>
  <sheetData>
    <row r="1" spans="1:5" ht="15" customHeight="1">
      <c r="A1" s="1000" t="s">
        <v>923</v>
      </c>
      <c r="B1" s="1029"/>
      <c r="C1" s="1029"/>
      <c r="D1" s="1029"/>
      <c r="E1" s="1029"/>
    </row>
    <row r="2" spans="1:5" ht="9.75" customHeight="1">
      <c r="A2" s="1002" t="s">
        <v>633</v>
      </c>
      <c r="B2" s="1030"/>
      <c r="C2" s="1030"/>
      <c r="D2" s="1030"/>
      <c r="E2" s="1030"/>
    </row>
    <row r="3" spans="1:5" ht="7.5" customHeight="1">
      <c r="A3" s="20"/>
      <c r="B3" s="20"/>
      <c r="C3" s="20"/>
      <c r="D3" s="20"/>
      <c r="E3" s="20"/>
    </row>
    <row r="4" spans="1:5" ht="9" customHeight="1">
      <c r="A4" s="20"/>
      <c r="B4" s="20"/>
      <c r="C4" s="20"/>
      <c r="D4" s="1033" t="s">
        <v>925</v>
      </c>
      <c r="E4" s="1033"/>
    </row>
    <row r="5" spans="1:5" ht="19.5" customHeight="1">
      <c r="A5" s="20"/>
      <c r="B5" s="20"/>
      <c r="C5" s="346" t="s">
        <v>924</v>
      </c>
      <c r="D5" s="347" t="s">
        <v>532</v>
      </c>
      <c r="E5" s="346" t="s">
        <v>527</v>
      </c>
    </row>
    <row r="6" spans="1:5" ht="7.5" customHeight="1">
      <c r="A6" s="20"/>
      <c r="B6" s="20"/>
      <c r="C6" s="20"/>
      <c r="D6" s="779"/>
      <c r="E6" s="20"/>
    </row>
    <row r="7" spans="1:5" ht="7.5" customHeight="1">
      <c r="A7" s="1031" t="s">
        <v>184</v>
      </c>
      <c r="B7" s="1032"/>
      <c r="C7" s="961">
        <f>SUM(C9:C26)</f>
        <v>133</v>
      </c>
      <c r="D7" s="970">
        <f>SUM(D9:D25)</f>
        <v>1315</v>
      </c>
      <c r="E7" s="957">
        <f>SUM(E9:E25)</f>
        <v>25596</v>
      </c>
    </row>
    <row r="8" spans="1:5" ht="7.5" customHeight="1">
      <c r="A8" s="20"/>
      <c r="B8" s="20"/>
      <c r="C8" s="20"/>
      <c r="D8" s="780"/>
      <c r="E8" s="414"/>
    </row>
    <row r="9" spans="1:5" ht="7.5" customHeight="1">
      <c r="A9" s="244" t="s">
        <v>119</v>
      </c>
      <c r="B9" s="228" t="s">
        <v>357</v>
      </c>
      <c r="C9" s="228">
        <v>32</v>
      </c>
      <c r="D9" s="530">
        <v>460</v>
      </c>
      <c r="E9" s="517">
        <v>6808</v>
      </c>
    </row>
    <row r="10" spans="1:8" s="253" customFormat="1" ht="7.5" customHeight="1">
      <c r="A10" s="20"/>
      <c r="B10" s="228" t="s">
        <v>351</v>
      </c>
      <c r="C10" s="228">
        <v>63</v>
      </c>
      <c r="D10" s="531">
        <v>121</v>
      </c>
      <c r="E10" s="517">
        <v>3220</v>
      </c>
      <c r="F10" s="281"/>
      <c r="G10" s="316"/>
      <c r="H10" s="316"/>
    </row>
    <row r="11" spans="1:5" ht="7.5" customHeight="1">
      <c r="A11" s="20"/>
      <c r="B11" s="228" t="s">
        <v>350</v>
      </c>
      <c r="C11" s="228">
        <v>14</v>
      </c>
      <c r="D11" s="530">
        <v>75</v>
      </c>
      <c r="E11" s="529">
        <v>1373</v>
      </c>
    </row>
    <row r="12" spans="1:5" ht="7.5" customHeight="1">
      <c r="A12" s="20"/>
      <c r="B12" s="20"/>
      <c r="C12" s="20"/>
      <c r="D12" s="531"/>
      <c r="E12" s="529"/>
    </row>
    <row r="13" spans="1:5" ht="7.5" customHeight="1">
      <c r="A13" s="244" t="s">
        <v>349</v>
      </c>
      <c r="B13" s="228" t="s">
        <v>348</v>
      </c>
      <c r="C13" s="228"/>
      <c r="D13" s="531">
        <v>21</v>
      </c>
      <c r="E13" s="529">
        <v>436</v>
      </c>
    </row>
    <row r="14" spans="1:5" ht="7.5" customHeight="1">
      <c r="A14" s="20"/>
      <c r="B14" s="228" t="s">
        <v>347</v>
      </c>
      <c r="C14" s="228"/>
      <c r="D14" s="532">
        <v>82</v>
      </c>
      <c r="E14" s="529">
        <v>2636</v>
      </c>
    </row>
    <row r="15" spans="1:5" ht="7.5" customHeight="1">
      <c r="A15" s="20"/>
      <c r="B15" s="20"/>
      <c r="C15" s="20"/>
      <c r="D15" s="532"/>
      <c r="E15" s="529"/>
    </row>
    <row r="16" spans="1:5" ht="7.5" customHeight="1">
      <c r="A16" s="244" t="s">
        <v>333</v>
      </c>
      <c r="B16" s="228" t="s">
        <v>346</v>
      </c>
      <c r="C16" s="228">
        <v>5</v>
      </c>
      <c r="D16" s="532">
        <v>103</v>
      </c>
      <c r="E16" s="529">
        <v>2342</v>
      </c>
    </row>
    <row r="17" spans="1:5" ht="7.5" customHeight="1">
      <c r="A17" s="20"/>
      <c r="B17" s="228" t="s">
        <v>345</v>
      </c>
      <c r="C17" s="228"/>
      <c r="D17" s="533">
        <v>160</v>
      </c>
      <c r="E17" s="529">
        <v>4483</v>
      </c>
    </row>
    <row r="18" spans="1:5" ht="7.5" customHeight="1">
      <c r="A18" s="20"/>
      <c r="B18" s="228" t="s">
        <v>344</v>
      </c>
      <c r="C18" s="228">
        <v>11</v>
      </c>
      <c r="D18" s="532">
        <v>98</v>
      </c>
      <c r="E18" s="529">
        <v>1493</v>
      </c>
    </row>
    <row r="19" spans="1:5" ht="7.5" customHeight="1">
      <c r="A19" s="20"/>
      <c r="B19" s="228" t="s">
        <v>343</v>
      </c>
      <c r="C19" s="228"/>
      <c r="D19" s="532">
        <v>10</v>
      </c>
      <c r="E19" s="517">
        <v>209</v>
      </c>
    </row>
    <row r="20" spans="1:5" ht="7.5" customHeight="1">
      <c r="A20" s="20"/>
      <c r="B20" s="228" t="s">
        <v>342</v>
      </c>
      <c r="C20" s="228"/>
      <c r="D20" s="532">
        <v>125</v>
      </c>
      <c r="E20" s="529">
        <v>1208</v>
      </c>
    </row>
    <row r="21" spans="1:5" ht="7.5" customHeight="1">
      <c r="A21" s="20"/>
      <c r="B21" s="20"/>
      <c r="C21" s="20"/>
      <c r="D21" s="534"/>
      <c r="E21" s="529"/>
    </row>
    <row r="22" spans="1:5" ht="7.5" customHeight="1">
      <c r="A22" s="244" t="s">
        <v>341</v>
      </c>
      <c r="B22" s="228" t="s">
        <v>340</v>
      </c>
      <c r="C22" s="228"/>
      <c r="D22" s="533">
        <v>8</v>
      </c>
      <c r="E22" s="517">
        <v>85</v>
      </c>
    </row>
    <row r="23" spans="1:5" ht="7.5" customHeight="1">
      <c r="A23" s="20"/>
      <c r="B23" s="254" t="s">
        <v>124</v>
      </c>
      <c r="C23" s="254">
        <v>7</v>
      </c>
      <c r="D23" s="533">
        <v>47</v>
      </c>
      <c r="E23" s="529">
        <v>1141</v>
      </c>
    </row>
    <row r="24" spans="1:5" ht="7.5" customHeight="1">
      <c r="A24" s="20"/>
      <c r="B24" s="20"/>
      <c r="C24" s="20"/>
      <c r="D24" s="532"/>
      <c r="E24" s="529"/>
    </row>
    <row r="25" spans="1:5" ht="7.5" customHeight="1">
      <c r="A25" s="244" t="s">
        <v>339</v>
      </c>
      <c r="B25" s="228" t="s">
        <v>111</v>
      </c>
      <c r="C25" s="228">
        <v>1</v>
      </c>
      <c r="D25" s="533">
        <v>5</v>
      </c>
      <c r="E25" s="529">
        <v>162</v>
      </c>
    </row>
    <row r="26" spans="1:5" ht="7.5" customHeight="1">
      <c r="A26" s="20"/>
      <c r="B26" s="228" t="s">
        <v>338</v>
      </c>
      <c r="C26" s="228"/>
      <c r="D26" s="532">
        <v>12</v>
      </c>
      <c r="E26" s="529">
        <v>270</v>
      </c>
    </row>
    <row r="27" spans="1:5" ht="7.5" customHeight="1" thickBot="1">
      <c r="A27" s="965"/>
      <c r="B27" s="965"/>
      <c r="C27" s="965"/>
      <c r="D27" s="981"/>
      <c r="E27" s="965"/>
    </row>
    <row r="28" spans="1:5" ht="7.5" customHeight="1">
      <c r="A28" s="150" t="s">
        <v>880</v>
      </c>
      <c r="B28" s="258"/>
      <c r="C28" s="258"/>
      <c r="D28" s="258"/>
      <c r="E28" s="258"/>
    </row>
    <row r="29" spans="1:5" ht="7.5" customHeight="1">
      <c r="A29" s="351" t="s">
        <v>894</v>
      </c>
      <c r="B29" s="257"/>
      <c r="C29" s="257"/>
      <c r="D29" s="257"/>
      <c r="E29" s="257"/>
    </row>
    <row r="30" spans="1:5" ht="7.5" customHeight="1">
      <c r="A30" s="257"/>
      <c r="B30" s="257"/>
      <c r="C30" s="257"/>
      <c r="D30" s="257"/>
      <c r="E30" s="257"/>
    </row>
    <row r="31" ht="7.5" customHeight="1"/>
    <row r="32" ht="7.5" customHeight="1"/>
    <row r="33" ht="7.5" customHeight="1"/>
    <row r="34" ht="7.5" customHeight="1"/>
    <row r="35" ht="7.5" customHeight="1"/>
    <row r="36" ht="7.5" customHeight="1"/>
  </sheetData>
  <sheetProtection/>
  <mergeCells count="4">
    <mergeCell ref="A1:E1"/>
    <mergeCell ref="A2:E2"/>
    <mergeCell ref="A7:B7"/>
    <mergeCell ref="D4:E4"/>
  </mergeCells>
  <printOptions/>
  <pageMargins left="0.5905511811023623" right="0.5905511811023623" top="0.7874015748031497" bottom="0.7874015748031497" header="0.31496062992125984" footer="0.31496062992125984"/>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dimension ref="A1:J31"/>
  <sheetViews>
    <sheetView zoomScale="140" zoomScaleNormal="140" zoomScalePageLayoutView="0" workbookViewId="0" topLeftCell="A1">
      <selection activeCell="A1" sqref="A1:G1"/>
    </sheetView>
  </sheetViews>
  <sheetFormatPr defaultColWidth="11.421875" defaultRowHeight="9.75" customHeight="1"/>
  <cols>
    <col min="1" max="1" width="6.7109375" style="352" customWidth="1"/>
    <col min="2" max="2" width="20.7109375" style="352" customWidth="1"/>
    <col min="3" max="3" width="7.421875" style="352" customWidth="1"/>
    <col min="4" max="4" width="6.421875" style="352" customWidth="1"/>
    <col min="5" max="5" width="11.140625" style="281" customWidth="1"/>
    <col min="6" max="6" width="9.140625" style="281" customWidth="1"/>
    <col min="7" max="7" width="9.57421875" style="281" customWidth="1"/>
    <col min="8" max="8" width="8.7109375" style="352" customWidth="1"/>
    <col min="9" max="16384" width="11.421875" style="352" customWidth="1"/>
  </cols>
  <sheetData>
    <row r="1" spans="1:7" ht="15" customHeight="1">
      <c r="A1" s="1000" t="s">
        <v>927</v>
      </c>
      <c r="B1" s="1000"/>
      <c r="C1" s="1000"/>
      <c r="D1" s="1000"/>
      <c r="E1" s="1000"/>
      <c r="F1" s="1000"/>
      <c r="G1" s="1000"/>
    </row>
    <row r="2" spans="1:7" ht="9.75" customHeight="1">
      <c r="A2" s="1002" t="s">
        <v>633</v>
      </c>
      <c r="B2" s="1002"/>
      <c r="C2" s="1002"/>
      <c r="D2" s="1002"/>
      <c r="E2" s="1002"/>
      <c r="F2" s="1002"/>
      <c r="G2" s="1002"/>
    </row>
    <row r="3" spans="1:4" ht="7.5" customHeight="1">
      <c r="A3" s="20"/>
      <c r="B3" s="20"/>
      <c r="C3" s="20"/>
      <c r="D3" s="20"/>
    </row>
    <row r="4" spans="1:7" ht="7.5" customHeight="1">
      <c r="A4" s="20"/>
      <c r="B4" s="20"/>
      <c r="C4" s="20"/>
      <c r="D4" s="20"/>
      <c r="F4" s="1033" t="s">
        <v>881</v>
      </c>
      <c r="G4" s="1033"/>
    </row>
    <row r="5" spans="1:10" ht="19.5" customHeight="1">
      <c r="A5" s="20"/>
      <c r="B5" s="20"/>
      <c r="C5" s="346" t="s">
        <v>877</v>
      </c>
      <c r="D5" s="346" t="s">
        <v>878</v>
      </c>
      <c r="E5" s="346" t="s">
        <v>879</v>
      </c>
      <c r="F5" s="347" t="s">
        <v>532</v>
      </c>
      <c r="G5" s="346" t="s">
        <v>527</v>
      </c>
      <c r="H5" s="281"/>
      <c r="I5" s="281"/>
      <c r="J5" s="281"/>
    </row>
    <row r="6" spans="1:10" ht="7.5" customHeight="1">
      <c r="A6" s="20"/>
      <c r="B6" s="20"/>
      <c r="C6" s="20"/>
      <c r="D6" s="20"/>
      <c r="E6" s="20"/>
      <c r="F6" s="20"/>
      <c r="G6" s="20"/>
      <c r="H6" s="281"/>
      <c r="I6" s="281"/>
      <c r="J6" s="281"/>
    </row>
    <row r="7" spans="1:10" ht="7.5" customHeight="1">
      <c r="A7" s="955" t="s">
        <v>123</v>
      </c>
      <c r="B7" s="955"/>
      <c r="C7" s="970">
        <f>SUM(C8:C28)</f>
        <v>53</v>
      </c>
      <c r="D7" s="970">
        <f>SUM(D8:D28)</f>
        <v>77</v>
      </c>
      <c r="E7" s="970">
        <f>SUM(E8:E28)</f>
        <v>33</v>
      </c>
      <c r="F7" s="970">
        <f>SUM(F8:F28)</f>
        <v>2887</v>
      </c>
      <c r="G7" s="970">
        <f>SUM(G8:G28)</f>
        <v>63879</v>
      </c>
      <c r="H7" s="281"/>
      <c r="I7" s="281"/>
      <c r="J7" s="281"/>
    </row>
    <row r="8" spans="1:10" ht="7.5" customHeight="1">
      <c r="A8" s="20"/>
      <c r="B8" s="20"/>
      <c r="C8" s="20"/>
      <c r="D8" s="20"/>
      <c r="E8" s="20"/>
      <c r="F8" s="185"/>
      <c r="G8" s="20"/>
      <c r="H8" s="281"/>
      <c r="I8" s="281"/>
      <c r="J8" s="281"/>
    </row>
    <row r="9" spans="1:10" ht="7.5" customHeight="1">
      <c r="A9" s="277" t="s">
        <v>119</v>
      </c>
      <c r="B9" s="216" t="s">
        <v>335</v>
      </c>
      <c r="C9" s="216">
        <v>53</v>
      </c>
      <c r="D9" s="216">
        <v>63</v>
      </c>
      <c r="E9" s="216"/>
      <c r="F9" s="775">
        <v>1276</v>
      </c>
      <c r="G9" s="108">
        <v>21728</v>
      </c>
      <c r="H9" s="281"/>
      <c r="I9" s="281"/>
      <c r="J9" s="281"/>
    </row>
    <row r="10" spans="1:10" ht="7.5" customHeight="1">
      <c r="A10" s="20"/>
      <c r="B10" s="216" t="s">
        <v>336</v>
      </c>
      <c r="C10" s="216"/>
      <c r="D10" s="216"/>
      <c r="E10" s="216"/>
      <c r="F10" s="775">
        <v>128</v>
      </c>
      <c r="G10" s="108">
        <v>2904</v>
      </c>
      <c r="H10" s="281"/>
      <c r="I10" s="281"/>
      <c r="J10" s="281"/>
    </row>
    <row r="11" spans="1:10" ht="7.5" customHeight="1">
      <c r="A11" s="20"/>
      <c r="B11" s="216" t="s">
        <v>334</v>
      </c>
      <c r="C11" s="216"/>
      <c r="D11" s="216">
        <v>14</v>
      </c>
      <c r="E11" s="216"/>
      <c r="F11" s="776">
        <v>88</v>
      </c>
      <c r="G11" s="108">
        <v>4393</v>
      </c>
      <c r="H11" s="281"/>
      <c r="I11" s="281"/>
      <c r="J11" s="281"/>
    </row>
    <row r="12" spans="1:10" ht="7.5" customHeight="1">
      <c r="A12" s="20"/>
      <c r="B12" s="20"/>
      <c r="C12" s="20"/>
      <c r="D12" s="20"/>
      <c r="E12" s="20"/>
      <c r="F12" s="776"/>
      <c r="G12" s="108"/>
      <c r="H12" s="281"/>
      <c r="I12" s="281"/>
      <c r="J12" s="281"/>
    </row>
    <row r="13" spans="1:10" ht="7.5" customHeight="1">
      <c r="A13" s="277" t="s">
        <v>349</v>
      </c>
      <c r="B13" s="216" t="s">
        <v>758</v>
      </c>
      <c r="C13" s="216"/>
      <c r="D13" s="216"/>
      <c r="E13" s="216"/>
      <c r="F13" s="776">
        <v>0</v>
      </c>
      <c r="G13" s="108">
        <v>420</v>
      </c>
      <c r="H13" s="281"/>
      <c r="I13" s="281"/>
      <c r="J13" s="281"/>
    </row>
    <row r="14" spans="1:10" ht="7.5" customHeight="1">
      <c r="A14" s="20"/>
      <c r="B14" s="20"/>
      <c r="C14" s="20"/>
      <c r="D14" s="20"/>
      <c r="E14" s="20"/>
      <c r="F14" s="776"/>
      <c r="G14" s="108"/>
      <c r="H14" s="281"/>
      <c r="I14" s="281"/>
      <c r="J14" s="281"/>
    </row>
    <row r="15" spans="1:10" ht="7.5" customHeight="1">
      <c r="A15" s="277" t="s">
        <v>333</v>
      </c>
      <c r="B15" s="216" t="s">
        <v>332</v>
      </c>
      <c r="C15" s="216"/>
      <c r="D15" s="216"/>
      <c r="E15" s="216">
        <v>27</v>
      </c>
      <c r="F15" s="775">
        <v>87</v>
      </c>
      <c r="G15" s="108">
        <v>2090</v>
      </c>
      <c r="H15" s="281"/>
      <c r="I15" s="281"/>
      <c r="J15" s="281"/>
    </row>
    <row r="16" spans="1:10" ht="7.5" customHeight="1">
      <c r="A16" s="20"/>
      <c r="B16" s="216" t="s">
        <v>331</v>
      </c>
      <c r="C16" s="216"/>
      <c r="D16" s="216"/>
      <c r="E16" s="216"/>
      <c r="F16" s="775">
        <v>27</v>
      </c>
      <c r="G16" s="108">
        <v>612</v>
      </c>
      <c r="H16" s="281"/>
      <c r="I16" s="281"/>
      <c r="J16" s="281"/>
    </row>
    <row r="17" spans="1:10" ht="7.5" customHeight="1">
      <c r="A17" s="20"/>
      <c r="B17" s="216" t="s">
        <v>330</v>
      </c>
      <c r="C17" s="216"/>
      <c r="D17" s="216"/>
      <c r="E17" s="216"/>
      <c r="F17" s="776">
        <v>0</v>
      </c>
      <c r="G17" s="108">
        <v>451</v>
      </c>
      <c r="H17" s="281"/>
      <c r="I17" s="281"/>
      <c r="J17" s="281"/>
    </row>
    <row r="18" spans="1:10" ht="7.5" customHeight="1">
      <c r="A18" s="20"/>
      <c r="B18" s="216" t="s">
        <v>329</v>
      </c>
      <c r="C18" s="216"/>
      <c r="D18" s="216"/>
      <c r="E18" s="216"/>
      <c r="F18" s="775">
        <v>0</v>
      </c>
      <c r="G18" s="108">
        <v>584</v>
      </c>
      <c r="H18" s="281"/>
      <c r="I18" s="281"/>
      <c r="J18" s="281"/>
    </row>
    <row r="19" spans="1:10" ht="7.5" customHeight="1">
      <c r="A19" s="20"/>
      <c r="B19" s="216" t="s">
        <v>328</v>
      </c>
      <c r="C19" s="216"/>
      <c r="D19" s="216"/>
      <c r="E19" s="216"/>
      <c r="F19" s="775">
        <v>40</v>
      </c>
      <c r="G19" s="108">
        <v>477</v>
      </c>
      <c r="H19" s="281"/>
      <c r="I19" s="281"/>
      <c r="J19" s="281"/>
    </row>
    <row r="20" spans="1:10" ht="7.5" customHeight="1">
      <c r="A20" s="20"/>
      <c r="B20" s="216" t="s">
        <v>327</v>
      </c>
      <c r="C20" s="216"/>
      <c r="D20" s="216"/>
      <c r="E20" s="216">
        <v>4</v>
      </c>
      <c r="F20" s="776">
        <v>1039</v>
      </c>
      <c r="G20" s="108">
        <v>26013</v>
      </c>
      <c r="H20" s="281"/>
      <c r="I20" s="281"/>
      <c r="J20" s="281"/>
    </row>
    <row r="21" spans="1:10" ht="7.5" customHeight="1">
      <c r="A21" s="20"/>
      <c r="B21" s="216" t="s">
        <v>325</v>
      </c>
      <c r="C21" s="216"/>
      <c r="D21" s="216"/>
      <c r="E21" s="216">
        <v>1</v>
      </c>
      <c r="F21" s="777">
        <v>0</v>
      </c>
      <c r="G21" s="108">
        <v>116</v>
      </c>
      <c r="H21" s="281"/>
      <c r="I21" s="281"/>
      <c r="J21" s="281"/>
    </row>
    <row r="22" spans="1:10" ht="7.5" customHeight="1">
      <c r="A22" s="20"/>
      <c r="B22" s="20"/>
      <c r="C22" s="20"/>
      <c r="D22" s="20"/>
      <c r="E22" s="20"/>
      <c r="F22" s="776"/>
      <c r="G22" s="108"/>
      <c r="H22" s="281"/>
      <c r="I22" s="281"/>
      <c r="J22" s="281"/>
    </row>
    <row r="23" spans="1:10" ht="7.5" customHeight="1">
      <c r="A23" s="277" t="s">
        <v>341</v>
      </c>
      <c r="B23" s="216" t="s">
        <v>326</v>
      </c>
      <c r="C23" s="216"/>
      <c r="D23" s="216"/>
      <c r="E23" s="216"/>
      <c r="F23" s="775">
        <v>47</v>
      </c>
      <c r="G23" s="108">
        <v>853</v>
      </c>
      <c r="H23" s="281"/>
      <c r="I23" s="281"/>
      <c r="J23" s="281"/>
    </row>
    <row r="24" spans="1:10" ht="7.5" customHeight="1">
      <c r="A24" s="20"/>
      <c r="B24" s="20"/>
      <c r="C24" s="20"/>
      <c r="D24" s="20"/>
      <c r="E24" s="20"/>
      <c r="F24" s="775"/>
      <c r="G24" s="108"/>
      <c r="H24" s="281"/>
      <c r="I24" s="281"/>
      <c r="J24" s="281"/>
    </row>
    <row r="25" spans="1:10" s="355" customFormat="1" ht="7.5" customHeight="1">
      <c r="A25" s="276" t="s">
        <v>544</v>
      </c>
      <c r="B25" s="345" t="s">
        <v>577</v>
      </c>
      <c r="C25" s="345"/>
      <c r="D25" s="345"/>
      <c r="E25" s="345"/>
      <c r="F25" s="778">
        <v>0</v>
      </c>
      <c r="G25" s="108">
        <v>239</v>
      </c>
      <c r="H25" s="281"/>
      <c r="J25" s="317"/>
    </row>
    <row r="26" spans="1:10" ht="7.5" customHeight="1">
      <c r="A26" s="276" t="s">
        <v>543</v>
      </c>
      <c r="B26" s="216" t="s">
        <v>322</v>
      </c>
      <c r="C26" s="216"/>
      <c r="D26" s="216"/>
      <c r="E26" s="216"/>
      <c r="F26" s="776">
        <v>15</v>
      </c>
      <c r="G26" s="108">
        <v>453</v>
      </c>
      <c r="H26" s="281"/>
      <c r="I26" s="281"/>
      <c r="J26" s="281"/>
    </row>
    <row r="27" spans="1:10" ht="7.5" customHeight="1">
      <c r="A27" s="20"/>
      <c r="B27" s="216" t="s">
        <v>321</v>
      </c>
      <c r="C27" s="216"/>
      <c r="D27" s="216"/>
      <c r="E27" s="216">
        <v>1</v>
      </c>
      <c r="F27" s="777">
        <v>57</v>
      </c>
      <c r="G27" s="395">
        <v>1040</v>
      </c>
      <c r="H27" s="281"/>
      <c r="I27" s="281"/>
      <c r="J27" s="281"/>
    </row>
    <row r="28" spans="1:10" ht="7.5" customHeight="1">
      <c r="A28" s="20"/>
      <c r="B28" s="216" t="s">
        <v>320</v>
      </c>
      <c r="C28" s="216"/>
      <c r="D28" s="216"/>
      <c r="E28" s="216"/>
      <c r="F28" s="775">
        <v>83</v>
      </c>
      <c r="G28" s="108">
        <v>1506</v>
      </c>
      <c r="H28" s="281"/>
      <c r="I28" s="281"/>
      <c r="J28" s="281"/>
    </row>
    <row r="29" spans="1:7" ht="7.5" customHeight="1" thickBot="1">
      <c r="A29" s="965"/>
      <c r="B29" s="965"/>
      <c r="C29" s="965"/>
      <c r="D29" s="965"/>
      <c r="E29" s="982"/>
      <c r="F29" s="980"/>
      <c r="G29" s="980"/>
    </row>
    <row r="30" spans="1:4" ht="7.5" customHeight="1">
      <c r="A30" s="150" t="s">
        <v>880</v>
      </c>
      <c r="B30" s="150"/>
      <c r="C30" s="150"/>
      <c r="D30" s="150"/>
    </row>
    <row r="31" spans="1:4" ht="7.5" customHeight="1">
      <c r="A31" s="351" t="s">
        <v>894</v>
      </c>
      <c r="B31" s="351"/>
      <c r="C31" s="351"/>
      <c r="D31" s="351"/>
    </row>
    <row r="32" ht="7.5" customHeight="1"/>
    <row r="33" ht="7.5" customHeight="1"/>
    <row r="34" ht="7.5" customHeight="1"/>
    <row r="35" ht="7.5" customHeight="1"/>
    <row r="36" ht="7.5" customHeight="1"/>
    <row r="37" ht="7.5" customHeight="1"/>
    <row r="38" ht="7.5" customHeight="1"/>
    <row r="39" ht="7.5" customHeight="1"/>
  </sheetData>
  <sheetProtection/>
  <mergeCells count="3">
    <mergeCell ref="A1:G1"/>
    <mergeCell ref="A2:G2"/>
    <mergeCell ref="F4:G4"/>
  </mergeCells>
  <printOptions/>
  <pageMargins left="0.5905511811023623" right="0.5905511811023623" top="0.7874015748031497" bottom="0.7874015748031497" header="0.31496062992125984" footer="0.31496062992125984"/>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dimension ref="A1:K25"/>
  <sheetViews>
    <sheetView zoomScale="140" zoomScaleNormal="140" zoomScalePageLayoutView="0" workbookViewId="0" topLeftCell="A1">
      <selection activeCell="A1" sqref="A1:H1"/>
    </sheetView>
  </sheetViews>
  <sheetFormatPr defaultColWidth="11.421875" defaultRowHeight="9.75" customHeight="1"/>
  <cols>
    <col min="1" max="1" width="23.8515625" style="72" customWidth="1"/>
    <col min="2" max="3" width="6.7109375" style="72" customWidth="1"/>
    <col min="4" max="4" width="6.57421875" style="72" customWidth="1"/>
    <col min="5" max="6" width="6.7109375" style="72" customWidth="1"/>
    <col min="7" max="7" width="6.8515625" style="72" customWidth="1"/>
    <col min="8" max="8" width="9.8515625" style="73" customWidth="1"/>
    <col min="9" max="9" width="5.00390625" style="282" customWidth="1"/>
    <col min="10" max="16384" width="11.421875" style="72" customWidth="1"/>
  </cols>
  <sheetData>
    <row r="1" spans="1:8" ht="15" customHeight="1">
      <c r="A1" s="1000" t="s">
        <v>186</v>
      </c>
      <c r="B1" s="1000"/>
      <c r="C1" s="1000"/>
      <c r="D1" s="1000"/>
      <c r="E1" s="1000"/>
      <c r="F1" s="1000"/>
      <c r="G1" s="1000"/>
      <c r="H1" s="1000"/>
    </row>
    <row r="2" spans="1:8" ht="9.75" customHeight="1">
      <c r="A2" s="1002" t="s">
        <v>759</v>
      </c>
      <c r="B2" s="1002"/>
      <c r="C2" s="1002"/>
      <c r="D2" s="1002"/>
      <c r="E2" s="1002"/>
      <c r="F2" s="1002"/>
      <c r="G2" s="1002"/>
      <c r="H2" s="1002"/>
    </row>
    <row r="3" spans="1:9" s="84" customFormat="1" ht="7.5" customHeight="1">
      <c r="A3" s="373"/>
      <c r="B3" s="373"/>
      <c r="C3" s="373"/>
      <c r="D3" s="373"/>
      <c r="E3" s="373"/>
      <c r="F3" s="373"/>
      <c r="G3" s="373"/>
      <c r="H3" s="373"/>
      <c r="I3" s="206"/>
    </row>
    <row r="4" spans="1:9" s="76" customFormat="1" ht="19.5" customHeight="1">
      <c r="A4" s="77"/>
      <c r="B4" s="26" t="s">
        <v>521</v>
      </c>
      <c r="C4" s="26" t="s">
        <v>531</v>
      </c>
      <c r="D4" s="26" t="s">
        <v>523</v>
      </c>
      <c r="E4" s="26" t="s">
        <v>524</v>
      </c>
      <c r="F4" s="26" t="s">
        <v>525</v>
      </c>
      <c r="G4" s="27" t="s">
        <v>532</v>
      </c>
      <c r="H4" s="107" t="s">
        <v>527</v>
      </c>
      <c r="I4" s="284"/>
    </row>
    <row r="5" spans="1:8" ht="9.75" customHeight="1">
      <c r="A5" s="79"/>
      <c r="B5" s="26"/>
      <c r="C5" s="26"/>
      <c r="D5" s="26"/>
      <c r="E5" s="26"/>
      <c r="F5" s="26"/>
      <c r="G5" s="27"/>
      <c r="H5" s="27"/>
    </row>
    <row r="6" spans="1:10" ht="7.5" customHeight="1">
      <c r="A6" s="803" t="s">
        <v>760</v>
      </c>
      <c r="B6" s="831">
        <f aca="true" t="shared" si="0" ref="B6:G6">SUM(B13:B21)</f>
        <v>1510</v>
      </c>
      <c r="C6" s="831">
        <f>SUM(C13:C21)</f>
        <v>776</v>
      </c>
      <c r="D6" s="831">
        <f t="shared" si="0"/>
        <v>288</v>
      </c>
      <c r="E6" s="831">
        <f t="shared" si="0"/>
        <v>461</v>
      </c>
      <c r="F6" s="831">
        <f t="shared" si="0"/>
        <v>557</v>
      </c>
      <c r="G6" s="831">
        <f t="shared" si="0"/>
        <v>3592</v>
      </c>
      <c r="H6" s="878">
        <v>67500</v>
      </c>
      <c r="I6" s="206"/>
      <c r="J6" s="722"/>
    </row>
    <row r="7" spans="1:10" ht="7.5" customHeight="1">
      <c r="A7" s="84" t="s">
        <v>868</v>
      </c>
      <c r="B7" s="123">
        <v>1595</v>
      </c>
      <c r="C7" s="123">
        <v>734</v>
      </c>
      <c r="D7" s="123">
        <v>267</v>
      </c>
      <c r="E7" s="123">
        <v>494</v>
      </c>
      <c r="F7" s="123">
        <v>571</v>
      </c>
      <c r="G7" s="197">
        <f>SUM(B7:F7)</f>
        <v>3661</v>
      </c>
      <c r="H7" s="108">
        <v>65000</v>
      </c>
      <c r="J7" s="722"/>
    </row>
    <row r="8" spans="1:8" ht="7.5" customHeight="1">
      <c r="A8" s="38"/>
      <c r="B8" s="393"/>
      <c r="C8" s="393"/>
      <c r="D8" s="393"/>
      <c r="E8" s="393"/>
      <c r="F8" s="393"/>
      <c r="G8" s="393"/>
      <c r="H8" s="393"/>
    </row>
    <row r="9" spans="1:8" ht="7.5" customHeight="1">
      <c r="A9" s="105"/>
      <c r="B9" s="356"/>
      <c r="C9" s="356"/>
      <c r="D9" s="356"/>
      <c r="E9" s="356"/>
      <c r="F9" s="356"/>
      <c r="G9" s="357"/>
      <c r="H9" s="356"/>
    </row>
    <row r="10" spans="1:8" ht="7.5" customHeight="1">
      <c r="A10" s="830" t="s">
        <v>16</v>
      </c>
      <c r="B10" s="983">
        <f>B6/'page 7 Démo'!B17*1000</f>
        <v>1.1587725605727253</v>
      </c>
      <c r="C10" s="983">
        <f>C6/'page 7 Démo'!C17*1000</f>
        <v>0.9728004492934034</v>
      </c>
      <c r="D10" s="983">
        <f>D6/'page 7 Démo'!D17*1000</f>
        <v>0.9249535114511171</v>
      </c>
      <c r="E10" s="983">
        <f>E6/'page 7 Démo'!E17*1000</f>
        <v>0.8048591845606708</v>
      </c>
      <c r="F10" s="983">
        <f>F6/'page 7 Démo'!F17*1000</f>
        <v>0.863296864078016</v>
      </c>
      <c r="G10" s="983">
        <f>G6/'page 7 Démo'!G17*1000</f>
        <v>0.989493790733633</v>
      </c>
      <c r="H10" s="983">
        <f>H6/'page 7 Démo'!H17*1000</f>
        <v>1.064514448701924</v>
      </c>
    </row>
    <row r="11" spans="1:8" ht="7.5" customHeight="1">
      <c r="A11" s="105"/>
      <c r="B11" s="356"/>
      <c r="C11" s="356"/>
      <c r="D11" s="356"/>
      <c r="E11" s="356"/>
      <c r="F11" s="356"/>
      <c r="G11" s="357"/>
      <c r="H11" s="356"/>
    </row>
    <row r="12" spans="1:11" ht="7.5" customHeight="1">
      <c r="A12" s="803" t="s">
        <v>761</v>
      </c>
      <c r="B12" s="906"/>
      <c r="C12" s="906"/>
      <c r="D12" s="906"/>
      <c r="E12" s="906"/>
      <c r="F12" s="906"/>
      <c r="G12" s="875"/>
      <c r="H12" s="852"/>
      <c r="J12" s="692"/>
      <c r="K12" s="692"/>
    </row>
    <row r="13" spans="1:8" ht="7.5" customHeight="1">
      <c r="A13" s="72" t="s">
        <v>187</v>
      </c>
      <c r="B13" s="70">
        <v>108</v>
      </c>
      <c r="C13" s="70">
        <v>38</v>
      </c>
      <c r="D13" s="70">
        <v>23</v>
      </c>
      <c r="E13" s="70">
        <v>9</v>
      </c>
      <c r="F13" s="70">
        <v>33</v>
      </c>
      <c r="G13" s="197">
        <f>SUM(B13:F13)</f>
        <v>211</v>
      </c>
      <c r="H13" s="421" t="s">
        <v>324</v>
      </c>
    </row>
    <row r="14" spans="1:8" ht="7.5" customHeight="1">
      <c r="A14" s="72" t="s">
        <v>188</v>
      </c>
      <c r="B14" s="70">
        <v>132</v>
      </c>
      <c r="C14" s="70">
        <v>93</v>
      </c>
      <c r="D14" s="70">
        <v>29</v>
      </c>
      <c r="E14" s="70">
        <v>47</v>
      </c>
      <c r="F14" s="70">
        <v>51</v>
      </c>
      <c r="G14" s="197">
        <f aca="true" t="shared" si="1" ref="G14:G21">SUM(B14:F14)</f>
        <v>352</v>
      </c>
      <c r="H14" s="421" t="s">
        <v>324</v>
      </c>
    </row>
    <row r="15" spans="1:8" ht="7.5" customHeight="1">
      <c r="A15" s="72" t="s">
        <v>189</v>
      </c>
      <c r="B15" s="70">
        <v>233</v>
      </c>
      <c r="C15" s="70">
        <v>135</v>
      </c>
      <c r="D15" s="70">
        <v>55</v>
      </c>
      <c r="E15" s="70">
        <v>66</v>
      </c>
      <c r="F15" s="70">
        <v>69</v>
      </c>
      <c r="G15" s="197">
        <f t="shared" si="1"/>
        <v>558</v>
      </c>
      <c r="H15" s="421" t="s">
        <v>324</v>
      </c>
    </row>
    <row r="16" spans="1:8" ht="7.5" customHeight="1">
      <c r="A16" s="72" t="s">
        <v>190</v>
      </c>
      <c r="B16" s="70">
        <v>28</v>
      </c>
      <c r="C16" s="70">
        <v>19</v>
      </c>
      <c r="D16" s="70">
        <v>7</v>
      </c>
      <c r="E16" s="70">
        <v>8</v>
      </c>
      <c r="F16" s="70">
        <v>17</v>
      </c>
      <c r="G16" s="197">
        <f t="shared" si="1"/>
        <v>79</v>
      </c>
      <c r="H16" s="421" t="s">
        <v>324</v>
      </c>
    </row>
    <row r="17" spans="1:8" ht="7.5" customHeight="1">
      <c r="A17" s="72" t="s">
        <v>191</v>
      </c>
      <c r="B17" s="70">
        <v>260</v>
      </c>
      <c r="C17" s="70">
        <v>116</v>
      </c>
      <c r="D17" s="70">
        <v>56</v>
      </c>
      <c r="E17" s="70">
        <v>83</v>
      </c>
      <c r="F17" s="70">
        <v>140</v>
      </c>
      <c r="G17" s="197">
        <f t="shared" si="1"/>
        <v>655</v>
      </c>
      <c r="H17" s="421" t="s">
        <v>324</v>
      </c>
    </row>
    <row r="18" spans="1:8" ht="7.5" customHeight="1">
      <c r="A18" s="72" t="s">
        <v>192</v>
      </c>
      <c r="B18" s="70">
        <v>185</v>
      </c>
      <c r="C18" s="70">
        <v>62</v>
      </c>
      <c r="D18" s="70">
        <v>21</v>
      </c>
      <c r="E18" s="70">
        <v>20</v>
      </c>
      <c r="F18" s="70">
        <v>23</v>
      </c>
      <c r="G18" s="197">
        <f t="shared" si="1"/>
        <v>311</v>
      </c>
      <c r="H18" s="421" t="s">
        <v>324</v>
      </c>
    </row>
    <row r="19" spans="1:8" ht="7.5" customHeight="1">
      <c r="A19" s="72" t="s">
        <v>193</v>
      </c>
      <c r="B19" s="70">
        <v>486</v>
      </c>
      <c r="C19" s="70">
        <v>273</v>
      </c>
      <c r="D19" s="70">
        <v>75</v>
      </c>
      <c r="E19" s="70">
        <v>191</v>
      </c>
      <c r="F19" s="70">
        <v>198</v>
      </c>
      <c r="G19" s="197">
        <f t="shared" si="1"/>
        <v>1223</v>
      </c>
      <c r="H19" s="421" t="s">
        <v>324</v>
      </c>
    </row>
    <row r="20" spans="1:8" ht="7.5" customHeight="1">
      <c r="A20" s="72" t="s">
        <v>323</v>
      </c>
      <c r="B20" s="70">
        <v>77</v>
      </c>
      <c r="C20" s="70">
        <v>37</v>
      </c>
      <c r="D20" s="70">
        <v>21</v>
      </c>
      <c r="E20" s="70">
        <v>37</v>
      </c>
      <c r="F20" s="70">
        <v>25</v>
      </c>
      <c r="G20" s="197">
        <f t="shared" si="1"/>
        <v>197</v>
      </c>
      <c r="H20" s="421" t="s">
        <v>324</v>
      </c>
    </row>
    <row r="21" spans="1:8" ht="7.5" customHeight="1">
      <c r="A21" s="72" t="s">
        <v>194</v>
      </c>
      <c r="B21" s="70">
        <v>1</v>
      </c>
      <c r="C21" s="70">
        <v>3</v>
      </c>
      <c r="D21" s="70">
        <v>1</v>
      </c>
      <c r="E21" s="70">
        <v>0</v>
      </c>
      <c r="F21" s="70">
        <v>1</v>
      </c>
      <c r="G21" s="197">
        <f t="shared" si="1"/>
        <v>6</v>
      </c>
      <c r="H21" s="421" t="s">
        <v>324</v>
      </c>
    </row>
    <row r="22" spans="1:8" ht="7.5" customHeight="1" thickBot="1">
      <c r="A22" s="874"/>
      <c r="B22" s="837"/>
      <c r="C22" s="837"/>
      <c r="D22" s="837"/>
      <c r="E22" s="837"/>
      <c r="F22" s="837"/>
      <c r="G22" s="837"/>
      <c r="H22" s="844"/>
    </row>
    <row r="23" spans="1:8" ht="7.5" customHeight="1">
      <c r="A23" s="74" t="s">
        <v>632</v>
      </c>
      <c r="B23" s="356"/>
      <c r="C23" s="356"/>
      <c r="D23" s="356"/>
      <c r="E23" s="356"/>
      <c r="F23" s="356"/>
      <c r="G23" s="357"/>
      <c r="H23" s="356"/>
    </row>
    <row r="24" spans="1:8" ht="7.5" customHeight="1">
      <c r="A24" s="72" t="s">
        <v>870</v>
      </c>
      <c r="B24" s="356"/>
      <c r="C24" s="356"/>
      <c r="D24" s="356"/>
      <c r="E24" s="356"/>
      <c r="F24" s="356"/>
      <c r="G24" s="357"/>
      <c r="H24" s="356"/>
    </row>
    <row r="25" ht="7.5" customHeight="1">
      <c r="A25" s="72" t="s">
        <v>869</v>
      </c>
    </row>
    <row r="26" ht="7.5" customHeight="1"/>
    <row r="27" ht="7.5" customHeight="1"/>
    <row r="28" ht="7.5" customHeight="1"/>
    <row r="29" ht="7.5" customHeight="1"/>
    <row r="30" ht="7.5" customHeight="1"/>
    <row r="31" ht="7.5" customHeight="1"/>
    <row r="32" ht="7.5" customHeight="1"/>
    <row r="33" ht="7.5" customHeight="1"/>
    <row r="34" ht="7.5" customHeight="1"/>
    <row r="35" ht="7.5" customHeight="1"/>
    <row r="36" ht="7.5" customHeight="1"/>
    <row r="37" ht="7.5" customHeight="1"/>
  </sheetData>
  <sheetProtection/>
  <mergeCells count="2">
    <mergeCell ref="A1:H1"/>
    <mergeCell ref="A2:H2"/>
  </mergeCells>
  <printOptions/>
  <pageMargins left="0.5905511811023623" right="0.5905511811023623" top="0.7874015748031497" bottom="0.7874015748031497" header="0.31496062992125984" footer="0.31496062992125984"/>
  <pageSetup horizontalDpi="600" verticalDpi="600" orientation="landscape" paperSize="9" r:id="rId1"/>
</worksheet>
</file>

<file path=xl/worksheets/sheet48.xml><?xml version="1.0" encoding="utf-8"?>
<worksheet xmlns="http://schemas.openxmlformats.org/spreadsheetml/2006/main" xmlns:r="http://schemas.openxmlformats.org/officeDocument/2006/relationships">
  <dimension ref="A1:Q24"/>
  <sheetViews>
    <sheetView zoomScale="140" zoomScaleNormal="140" zoomScalePageLayoutView="0" workbookViewId="0" topLeftCell="A1">
      <selection activeCell="A1" sqref="A1:H1"/>
    </sheetView>
  </sheetViews>
  <sheetFormatPr defaultColWidth="11.421875" defaultRowHeight="9.75" customHeight="1"/>
  <cols>
    <col min="1" max="1" width="26.140625" style="72" customWidth="1"/>
    <col min="2" max="2" width="6.57421875" style="72" customWidth="1"/>
    <col min="3" max="3" width="6.421875" style="72" customWidth="1"/>
    <col min="4" max="4" width="6.421875" style="72" bestFit="1" customWidth="1"/>
    <col min="5" max="6" width="5.7109375" style="72" customWidth="1"/>
    <col min="7" max="7" width="6.7109375" style="72" customWidth="1"/>
    <col min="8" max="8" width="9.57421875" style="73" customWidth="1"/>
    <col min="9" max="9" width="6.421875" style="206" customWidth="1"/>
    <col min="10" max="10" width="11.421875" style="84" customWidth="1"/>
    <col min="11" max="11" width="4.140625" style="84" bestFit="1" customWidth="1"/>
    <col min="12" max="14" width="3.8515625" style="84" bestFit="1" customWidth="1"/>
    <col min="15" max="15" width="4.140625" style="84" bestFit="1" customWidth="1"/>
    <col min="16" max="16" width="4.57421875" style="84" bestFit="1" customWidth="1"/>
    <col min="17" max="17" width="5.28125" style="84" bestFit="1" customWidth="1"/>
    <col min="18" max="16384" width="11.421875" style="72" customWidth="1"/>
  </cols>
  <sheetData>
    <row r="1" spans="1:8" ht="15" customHeight="1">
      <c r="A1" s="1000" t="s">
        <v>195</v>
      </c>
      <c r="B1" s="1000"/>
      <c r="C1" s="1000"/>
      <c r="D1" s="1000"/>
      <c r="E1" s="1000"/>
      <c r="F1" s="1000"/>
      <c r="G1" s="1000"/>
      <c r="H1" s="1000"/>
    </row>
    <row r="2" spans="1:8" ht="9.75" customHeight="1">
      <c r="A2" s="1002" t="s">
        <v>762</v>
      </c>
      <c r="B2" s="1002"/>
      <c r="C2" s="1002"/>
      <c r="D2" s="1002"/>
      <c r="E2" s="1002"/>
      <c r="F2" s="1002"/>
      <c r="G2" s="1002"/>
      <c r="H2" s="1002"/>
    </row>
    <row r="3" spans="1:8" ht="7.5" customHeight="1">
      <c r="A3" s="373"/>
      <c r="B3" s="373"/>
      <c r="C3" s="373"/>
      <c r="D3" s="373"/>
      <c r="E3" s="373"/>
      <c r="F3" s="373"/>
      <c r="G3" s="373"/>
      <c r="H3" s="373"/>
    </row>
    <row r="4" spans="1:8" ht="19.5" customHeight="1">
      <c r="A4" s="105"/>
      <c r="B4" s="26" t="s">
        <v>521</v>
      </c>
      <c r="C4" s="26" t="s">
        <v>531</v>
      </c>
      <c r="D4" s="26" t="s">
        <v>523</v>
      </c>
      <c r="E4" s="26" t="s">
        <v>524</v>
      </c>
      <c r="F4" s="26" t="s">
        <v>525</v>
      </c>
      <c r="G4" s="27" t="s">
        <v>532</v>
      </c>
      <c r="H4" s="107" t="s">
        <v>527</v>
      </c>
    </row>
    <row r="5" spans="1:8" ht="7.5" customHeight="1">
      <c r="A5" s="105"/>
      <c r="B5" s="26"/>
      <c r="C5" s="26"/>
      <c r="D5" s="26"/>
      <c r="E5" s="26"/>
      <c r="F5" s="26"/>
      <c r="G5" s="27"/>
      <c r="H5" s="107"/>
    </row>
    <row r="6" spans="1:17" ht="9.75" customHeight="1">
      <c r="A6" s="830" t="s">
        <v>578</v>
      </c>
      <c r="B6" s="984">
        <v>4873</v>
      </c>
      <c r="C6" s="984">
        <v>3175</v>
      </c>
      <c r="D6" s="984">
        <v>1073</v>
      </c>
      <c r="E6" s="984">
        <v>1699</v>
      </c>
      <c r="F6" s="984">
        <v>2410</v>
      </c>
      <c r="G6" s="984">
        <f>SUM(B6:F6)</f>
        <v>13230</v>
      </c>
      <c r="H6" s="984">
        <v>183759</v>
      </c>
      <c r="J6" s="85"/>
      <c r="K6" s="123"/>
      <c r="L6" s="123"/>
      <c r="M6" s="123"/>
      <c r="N6" s="123"/>
      <c r="O6" s="123"/>
      <c r="P6" s="123"/>
      <c r="Q6" s="123"/>
    </row>
    <row r="7" spans="1:8" ht="7.5" customHeight="1">
      <c r="A7" s="358"/>
      <c r="B7" s="568"/>
      <c r="C7" s="568"/>
      <c r="D7" s="568"/>
      <c r="E7" s="568"/>
      <c r="F7" s="568"/>
      <c r="G7" s="568"/>
      <c r="H7" s="568"/>
    </row>
    <row r="8" spans="1:8" ht="7.5" customHeight="1">
      <c r="A8" s="830" t="s">
        <v>579</v>
      </c>
      <c r="B8" s="906"/>
      <c r="C8" s="906"/>
      <c r="D8" s="906"/>
      <c r="E8" s="906"/>
      <c r="F8" s="906"/>
      <c r="G8" s="906"/>
      <c r="H8" s="830"/>
    </row>
    <row r="9" spans="1:12" ht="7.5" customHeight="1">
      <c r="A9" s="358" t="s">
        <v>196</v>
      </c>
      <c r="B9" s="569">
        <v>6</v>
      </c>
      <c r="C9" s="569">
        <v>3</v>
      </c>
      <c r="D9" s="569">
        <v>4</v>
      </c>
      <c r="E9" s="569">
        <v>4</v>
      </c>
      <c r="F9" s="569">
        <v>5</v>
      </c>
      <c r="G9" s="568">
        <v>22</v>
      </c>
      <c r="H9" s="569">
        <v>677</v>
      </c>
      <c r="L9" s="399"/>
    </row>
    <row r="10" spans="1:12" ht="7.5" customHeight="1">
      <c r="A10" s="358" t="s">
        <v>197</v>
      </c>
      <c r="B10" s="569">
        <v>5</v>
      </c>
      <c r="C10" s="569">
        <v>5</v>
      </c>
      <c r="D10" s="569">
        <v>2</v>
      </c>
      <c r="E10" s="569">
        <v>5</v>
      </c>
      <c r="F10" s="569">
        <v>1</v>
      </c>
      <c r="G10" s="568">
        <v>18</v>
      </c>
      <c r="H10" s="569">
        <v>265</v>
      </c>
      <c r="K10" s="362"/>
      <c r="L10" s="399"/>
    </row>
    <row r="11" spans="1:12" ht="7.5" customHeight="1">
      <c r="A11" s="358" t="s">
        <v>267</v>
      </c>
      <c r="B11" s="569">
        <v>155</v>
      </c>
      <c r="C11" s="569">
        <v>87</v>
      </c>
      <c r="D11" s="569">
        <v>17</v>
      </c>
      <c r="E11" s="569">
        <v>53</v>
      </c>
      <c r="F11" s="569">
        <v>134</v>
      </c>
      <c r="G11" s="568">
        <v>446</v>
      </c>
      <c r="H11" s="569">
        <v>4394</v>
      </c>
      <c r="K11" s="362"/>
      <c r="L11" s="399"/>
    </row>
    <row r="12" spans="1:12" ht="7.5" customHeight="1">
      <c r="A12" s="358" t="s">
        <v>268</v>
      </c>
      <c r="G12" s="73"/>
      <c r="I12" s="84"/>
      <c r="K12" s="362"/>
      <c r="L12" s="399"/>
    </row>
    <row r="13" spans="1:12" ht="7.5" customHeight="1">
      <c r="A13" s="358" t="s">
        <v>269</v>
      </c>
      <c r="B13" s="569">
        <v>1664</v>
      </c>
      <c r="C13" s="569">
        <v>1144</v>
      </c>
      <c r="D13" s="569">
        <v>437</v>
      </c>
      <c r="E13" s="569">
        <v>579</v>
      </c>
      <c r="F13" s="569">
        <v>794</v>
      </c>
      <c r="G13" s="568">
        <v>4618</v>
      </c>
      <c r="H13" s="569">
        <v>54999</v>
      </c>
      <c r="K13" s="362"/>
      <c r="L13" s="399"/>
    </row>
    <row r="14" spans="1:12" ht="7.5" customHeight="1">
      <c r="A14" s="572" t="s">
        <v>198</v>
      </c>
      <c r="B14" s="570">
        <v>868</v>
      </c>
      <c r="C14" s="570">
        <v>515</v>
      </c>
      <c r="D14" s="570">
        <v>198</v>
      </c>
      <c r="E14" s="570">
        <v>252</v>
      </c>
      <c r="F14" s="570">
        <v>413</v>
      </c>
      <c r="G14" s="729">
        <f>SUM(B14:F14)</f>
        <v>2246</v>
      </c>
      <c r="H14" s="570">
        <v>20047</v>
      </c>
      <c r="K14" s="362"/>
      <c r="L14" s="399"/>
    </row>
    <row r="15" spans="1:12" ht="7.5" customHeight="1">
      <c r="A15" s="573" t="s">
        <v>199</v>
      </c>
      <c r="B15" s="570">
        <v>122</v>
      </c>
      <c r="C15" s="570">
        <v>39</v>
      </c>
      <c r="D15" s="570">
        <v>15</v>
      </c>
      <c r="E15" s="570">
        <v>37</v>
      </c>
      <c r="F15" s="570">
        <v>60</v>
      </c>
      <c r="G15" s="729">
        <f>SUM(B15:F15)</f>
        <v>273</v>
      </c>
      <c r="H15" s="570">
        <v>3691</v>
      </c>
      <c r="K15" s="362"/>
      <c r="L15" s="399"/>
    </row>
    <row r="16" spans="1:12" ht="7.5" customHeight="1">
      <c r="A16" s="572" t="s">
        <v>200</v>
      </c>
      <c r="B16" s="570">
        <v>674</v>
      </c>
      <c r="C16" s="570">
        <v>590</v>
      </c>
      <c r="D16" s="570">
        <v>224</v>
      </c>
      <c r="E16" s="570">
        <v>290</v>
      </c>
      <c r="F16" s="570">
        <v>321</v>
      </c>
      <c r="G16" s="729">
        <f>SUM(B16:F16)</f>
        <v>2099</v>
      </c>
      <c r="H16" s="570">
        <v>31261</v>
      </c>
      <c r="K16" s="362"/>
      <c r="L16" s="399"/>
    </row>
    <row r="17" spans="1:12" ht="7.5" customHeight="1">
      <c r="A17" s="358" t="s">
        <v>682</v>
      </c>
      <c r="B17" s="569">
        <v>2679</v>
      </c>
      <c r="C17" s="569">
        <v>1714</v>
      </c>
      <c r="D17" s="569">
        <v>514</v>
      </c>
      <c r="E17" s="569">
        <v>911</v>
      </c>
      <c r="F17" s="569">
        <v>1258</v>
      </c>
      <c r="G17" s="568">
        <v>7076</v>
      </c>
      <c r="H17" s="569">
        <v>108163</v>
      </c>
      <c r="K17" s="362"/>
      <c r="L17" s="399"/>
    </row>
    <row r="18" spans="1:12" ht="7.5" customHeight="1">
      <c r="A18" s="575" t="s">
        <v>636</v>
      </c>
      <c r="B18" s="570">
        <v>852</v>
      </c>
      <c r="C18" s="570">
        <v>730</v>
      </c>
      <c r="D18" s="570">
        <v>208</v>
      </c>
      <c r="E18" s="570">
        <v>334</v>
      </c>
      <c r="F18" s="570">
        <v>592</v>
      </c>
      <c r="G18" s="729">
        <v>2716</v>
      </c>
      <c r="H18" s="570">
        <v>35536</v>
      </c>
      <c r="K18" s="362"/>
      <c r="L18" s="399"/>
    </row>
    <row r="19" spans="1:12" ht="7.5" customHeight="1">
      <c r="A19" s="572" t="s">
        <v>637</v>
      </c>
      <c r="B19" s="731">
        <v>540</v>
      </c>
      <c r="C19" s="731">
        <v>307</v>
      </c>
      <c r="D19" s="731">
        <v>55</v>
      </c>
      <c r="E19" s="731">
        <v>172</v>
      </c>
      <c r="F19" s="731">
        <v>156</v>
      </c>
      <c r="G19" s="732">
        <v>1230</v>
      </c>
      <c r="H19" s="731">
        <v>21937</v>
      </c>
      <c r="I19" s="366"/>
      <c r="K19" s="362"/>
      <c r="L19" s="399"/>
    </row>
    <row r="20" spans="1:12" ht="7.5" customHeight="1">
      <c r="A20" s="358" t="s">
        <v>634</v>
      </c>
      <c r="B20" s="569">
        <v>364</v>
      </c>
      <c r="C20" s="569">
        <v>222</v>
      </c>
      <c r="D20" s="569">
        <v>99</v>
      </c>
      <c r="E20" s="569">
        <v>147</v>
      </c>
      <c r="F20" s="569">
        <v>218</v>
      </c>
      <c r="G20" s="568">
        <v>1050</v>
      </c>
      <c r="H20" s="569">
        <v>15261</v>
      </c>
      <c r="K20" s="362"/>
      <c r="L20" s="399"/>
    </row>
    <row r="21" spans="1:12" ht="7.5" customHeight="1" thickBot="1">
      <c r="A21" s="985"/>
      <c r="B21" s="986"/>
      <c r="C21" s="986"/>
      <c r="D21" s="986"/>
      <c r="E21" s="986"/>
      <c r="F21" s="986"/>
      <c r="G21" s="987"/>
      <c r="H21" s="988"/>
      <c r="K21" s="362"/>
      <c r="L21" s="399"/>
    </row>
    <row r="22" spans="1:12" ht="7.5" customHeight="1">
      <c r="A22" s="74" t="s">
        <v>205</v>
      </c>
      <c r="B22" s="356"/>
      <c r="C22" s="356"/>
      <c r="D22" s="356"/>
      <c r="E22" s="356"/>
      <c r="F22" s="356"/>
      <c r="G22" s="357"/>
      <c r="H22" s="571"/>
      <c r="K22" s="362"/>
      <c r="L22" s="399"/>
    </row>
    <row r="23" spans="1:12" ht="7.5" customHeight="1">
      <c r="A23" s="74" t="s">
        <v>580</v>
      </c>
      <c r="B23" s="362"/>
      <c r="C23" s="190"/>
      <c r="D23" s="190"/>
      <c r="E23" s="190"/>
      <c r="F23" s="190"/>
      <c r="G23" s="224"/>
      <c r="H23" s="190"/>
      <c r="K23" s="362"/>
      <c r="L23" s="399"/>
    </row>
    <row r="24" spans="1:12" ht="7.5" customHeight="1">
      <c r="A24" s="53" t="s">
        <v>683</v>
      </c>
      <c r="B24" s="358"/>
      <c r="C24" s="188"/>
      <c r="D24" s="188"/>
      <c r="E24" s="188"/>
      <c r="F24" s="188"/>
      <c r="G24" s="233"/>
      <c r="H24" s="188"/>
      <c r="K24" s="362"/>
      <c r="L24" s="399"/>
    </row>
    <row r="25" ht="7.5" customHeight="1"/>
    <row r="26" ht="7.5" customHeight="1"/>
    <row r="27" ht="7.5" customHeight="1"/>
  </sheetData>
  <sheetProtection/>
  <mergeCells count="2">
    <mergeCell ref="A2:H2"/>
    <mergeCell ref="A1:H1"/>
  </mergeCells>
  <printOptions/>
  <pageMargins left="0.5905511811023623" right="0.5905511811023623" top="0.7874015748031497" bottom="0.7874015748031497" header="0.31496062992125984" footer="0.31496062992125984"/>
  <pageSetup horizontalDpi="600" verticalDpi="600" orientation="landscape" paperSize="9" r:id="rId2"/>
  <drawing r:id="rId1"/>
</worksheet>
</file>

<file path=xl/worksheets/sheet49.xml><?xml version="1.0" encoding="utf-8"?>
<worksheet xmlns="http://schemas.openxmlformats.org/spreadsheetml/2006/main" xmlns:r="http://schemas.openxmlformats.org/officeDocument/2006/relationships">
  <dimension ref="A1:S29"/>
  <sheetViews>
    <sheetView zoomScale="140" zoomScaleNormal="140" zoomScalePageLayoutView="0" workbookViewId="0" topLeftCell="A1">
      <selection activeCell="A1" sqref="A1:H1"/>
    </sheetView>
  </sheetViews>
  <sheetFormatPr defaultColWidth="11.421875" defaultRowHeight="9.75" customHeight="1"/>
  <cols>
    <col min="1" max="1" width="25.7109375" style="72" customWidth="1"/>
    <col min="2" max="4" width="6.7109375" style="72" customWidth="1"/>
    <col min="5" max="6" width="5.7109375" style="72" customWidth="1"/>
    <col min="7" max="7" width="6.8515625" style="72" customWidth="1"/>
    <col min="8" max="8" width="9.7109375" style="73" customWidth="1"/>
    <col min="9" max="9" width="6.140625" style="206" customWidth="1"/>
    <col min="10" max="10" width="30.57421875" style="84" customWidth="1"/>
    <col min="11" max="16" width="4.8515625" style="84" customWidth="1"/>
    <col min="17" max="17" width="6.421875" style="84" bestFit="1" customWidth="1"/>
    <col min="18" max="18" width="4.8515625" style="84" customWidth="1"/>
    <col min="19" max="19" width="11.421875" style="84" customWidth="1"/>
    <col min="20" max="16384" width="11.421875" style="72" customWidth="1"/>
  </cols>
  <sheetData>
    <row r="1" spans="1:18" s="72" customFormat="1" ht="15" customHeight="1">
      <c r="A1" s="1000" t="s">
        <v>201</v>
      </c>
      <c r="B1" s="1000"/>
      <c r="C1" s="1000"/>
      <c r="D1" s="1000"/>
      <c r="E1" s="1000"/>
      <c r="F1" s="1000"/>
      <c r="G1" s="1000"/>
      <c r="H1" s="1000"/>
      <c r="I1" s="365"/>
      <c r="J1" s="84"/>
      <c r="K1" s="84"/>
      <c r="L1" s="84"/>
      <c r="M1" s="84"/>
      <c r="N1" s="84"/>
      <c r="O1" s="84"/>
      <c r="P1" s="84"/>
      <c r="Q1" s="84"/>
      <c r="R1" s="84"/>
    </row>
    <row r="2" spans="1:18" s="72" customFormat="1" ht="9.75" customHeight="1">
      <c r="A2" s="1002" t="s">
        <v>762</v>
      </c>
      <c r="B2" s="1002"/>
      <c r="C2" s="1002"/>
      <c r="D2" s="1002"/>
      <c r="E2" s="1002"/>
      <c r="F2" s="1002"/>
      <c r="G2" s="1002"/>
      <c r="H2" s="1002"/>
      <c r="I2" s="580"/>
      <c r="J2" s="84"/>
      <c r="K2" s="84"/>
      <c r="L2" s="84"/>
      <c r="M2" s="84"/>
      <c r="N2" s="84"/>
      <c r="O2" s="84"/>
      <c r="P2" s="84"/>
      <c r="Q2" s="84"/>
      <c r="R2" s="84"/>
    </row>
    <row r="3" spans="1:18" s="72" customFormat="1" ht="7.5" customHeight="1">
      <c r="A3" s="373"/>
      <c r="B3" s="373"/>
      <c r="C3" s="373"/>
      <c r="D3" s="373"/>
      <c r="E3" s="373"/>
      <c r="F3" s="373"/>
      <c r="G3" s="373"/>
      <c r="H3" s="373"/>
      <c r="I3" s="581"/>
      <c r="J3" s="84"/>
      <c r="K3" s="84"/>
      <c r="L3" s="84"/>
      <c r="M3" s="84"/>
      <c r="N3" s="84"/>
      <c r="O3" s="84"/>
      <c r="P3" s="84"/>
      <c r="Q3" s="84"/>
      <c r="R3" s="84"/>
    </row>
    <row r="4" spans="1:18" s="72" customFormat="1" ht="19.5" customHeight="1">
      <c r="A4" s="105"/>
      <c r="B4" s="26" t="s">
        <v>521</v>
      </c>
      <c r="C4" s="26" t="s">
        <v>531</v>
      </c>
      <c r="D4" s="26" t="s">
        <v>523</v>
      </c>
      <c r="E4" s="26" t="s">
        <v>524</v>
      </c>
      <c r="F4" s="26" t="s">
        <v>525</v>
      </c>
      <c r="G4" s="27" t="s">
        <v>532</v>
      </c>
      <c r="H4" s="107" t="s">
        <v>527</v>
      </c>
      <c r="I4" s="363"/>
      <c r="J4" s="84"/>
      <c r="K4" s="84"/>
      <c r="L4" s="84"/>
      <c r="M4" s="84"/>
      <c r="N4" s="84"/>
      <c r="O4" s="84"/>
      <c r="P4" s="84"/>
      <c r="Q4" s="84"/>
      <c r="R4" s="84"/>
    </row>
    <row r="5" spans="1:18" s="72" customFormat="1" ht="7.5" customHeight="1">
      <c r="A5" s="105"/>
      <c r="B5" s="26"/>
      <c r="C5" s="26"/>
      <c r="D5" s="26"/>
      <c r="E5" s="26"/>
      <c r="F5" s="26"/>
      <c r="G5" s="27"/>
      <c r="H5" s="107"/>
      <c r="I5" s="363"/>
      <c r="J5" s="85"/>
      <c r="K5" s="84"/>
      <c r="L5" s="84"/>
      <c r="M5" s="84"/>
      <c r="N5" s="84"/>
      <c r="O5" s="84"/>
      <c r="P5" s="84"/>
      <c r="Q5" s="85"/>
      <c r="R5" s="206"/>
    </row>
    <row r="6" spans="1:18" s="72" customFormat="1" ht="9.75" customHeight="1">
      <c r="A6" s="830" t="s">
        <v>581</v>
      </c>
      <c r="B6" s="984">
        <v>49023</v>
      </c>
      <c r="C6" s="984">
        <v>30789</v>
      </c>
      <c r="D6" s="984">
        <v>9401</v>
      </c>
      <c r="E6" s="984">
        <v>15304</v>
      </c>
      <c r="F6" s="984">
        <v>20637</v>
      </c>
      <c r="G6" s="984">
        <f>SUM(B6:F6)</f>
        <v>125154</v>
      </c>
      <c r="H6" s="984">
        <v>1774698</v>
      </c>
      <c r="I6" s="366"/>
      <c r="J6" s="85"/>
      <c r="K6" s="395"/>
      <c r="L6" s="395"/>
      <c r="M6" s="395"/>
      <c r="N6" s="395"/>
      <c r="O6" s="395"/>
      <c r="P6" s="395"/>
      <c r="Q6" s="395"/>
      <c r="R6" s="206"/>
    </row>
    <row r="7" spans="1:18" s="72" customFormat="1" ht="7.5" customHeight="1">
      <c r="A7" s="358"/>
      <c r="B7" s="358"/>
      <c r="C7" s="188"/>
      <c r="D7" s="188"/>
      <c r="E7" s="188"/>
      <c r="F7" s="188"/>
      <c r="G7" s="233"/>
      <c r="H7" s="188"/>
      <c r="I7" s="364"/>
      <c r="J7" s="84"/>
      <c r="K7" s="84"/>
      <c r="L7" s="84"/>
      <c r="M7" s="84"/>
      <c r="N7" s="84"/>
      <c r="O7" s="84"/>
      <c r="P7" s="84"/>
      <c r="Q7" s="84"/>
      <c r="R7" s="84"/>
    </row>
    <row r="8" spans="1:18" s="72" customFormat="1" ht="7.5" customHeight="1">
      <c r="A8" s="830" t="s">
        <v>202</v>
      </c>
      <c r="B8" s="906"/>
      <c r="C8" s="906"/>
      <c r="D8" s="906"/>
      <c r="E8" s="906"/>
      <c r="F8" s="906"/>
      <c r="G8" s="830"/>
      <c r="H8" s="830"/>
      <c r="I8" s="366"/>
      <c r="J8" s="84"/>
      <c r="K8" s="84"/>
      <c r="L8" s="84"/>
      <c r="M8" s="84"/>
      <c r="N8" s="84"/>
      <c r="O8" s="84"/>
      <c r="P8" s="84"/>
      <c r="Q8" s="84"/>
      <c r="R8" s="84"/>
    </row>
    <row r="9" spans="1:18" s="72" customFormat="1" ht="7.5" customHeight="1">
      <c r="A9" s="358" t="s">
        <v>196</v>
      </c>
      <c r="B9" s="579" t="s">
        <v>778</v>
      </c>
      <c r="C9" s="579" t="s">
        <v>778</v>
      </c>
      <c r="D9" s="579" t="s">
        <v>778</v>
      </c>
      <c r="E9" s="579" t="s">
        <v>778</v>
      </c>
      <c r="F9" s="579" t="s">
        <v>778</v>
      </c>
      <c r="G9" s="568">
        <v>194</v>
      </c>
      <c r="H9" s="569">
        <v>3368</v>
      </c>
      <c r="I9" s="366"/>
      <c r="J9" s="84"/>
      <c r="K9" s="84"/>
      <c r="L9" s="84"/>
      <c r="M9" s="399"/>
      <c r="N9" s="84"/>
      <c r="O9" s="84"/>
      <c r="P9" s="84"/>
      <c r="Q9" s="84"/>
      <c r="R9" s="84"/>
    </row>
    <row r="10" spans="1:18" s="72" customFormat="1" ht="7.5" customHeight="1">
      <c r="A10" s="358" t="s">
        <v>197</v>
      </c>
      <c r="B10" s="579" t="s">
        <v>778</v>
      </c>
      <c r="C10" s="579" t="s">
        <v>778</v>
      </c>
      <c r="D10" s="579" t="s">
        <v>778</v>
      </c>
      <c r="E10" s="579" t="s">
        <v>778</v>
      </c>
      <c r="F10" s="579" t="s">
        <v>778</v>
      </c>
      <c r="G10" s="568">
        <v>280</v>
      </c>
      <c r="H10" s="569">
        <v>4341</v>
      </c>
      <c r="I10" s="366"/>
      <c r="J10" s="84"/>
      <c r="K10" s="84"/>
      <c r="L10" s="362"/>
      <c r="M10" s="399"/>
      <c r="N10" s="84"/>
      <c r="O10" s="84"/>
      <c r="P10" s="84"/>
      <c r="Q10" s="84"/>
      <c r="R10" s="84"/>
    </row>
    <row r="11" spans="1:18" s="72" customFormat="1" ht="7.5" customHeight="1">
      <c r="A11" s="358" t="s">
        <v>267</v>
      </c>
      <c r="B11" s="569">
        <v>809</v>
      </c>
      <c r="C11" s="569">
        <v>493</v>
      </c>
      <c r="D11" s="569">
        <v>135</v>
      </c>
      <c r="E11" s="569">
        <v>212</v>
      </c>
      <c r="F11" s="569">
        <v>456</v>
      </c>
      <c r="G11" s="568">
        <f>SUM(B11:F11)</f>
        <v>2105</v>
      </c>
      <c r="H11" s="569">
        <v>26458</v>
      </c>
      <c r="I11" s="366"/>
      <c r="J11" s="84"/>
      <c r="K11" s="84"/>
      <c r="L11" s="362"/>
      <c r="M11" s="399"/>
      <c r="N11" s="84"/>
      <c r="O11" s="84"/>
      <c r="P11" s="84"/>
      <c r="Q11" s="84"/>
      <c r="R11" s="84"/>
    </row>
    <row r="12" spans="1:18" s="72" customFormat="1" ht="7.5" customHeight="1">
      <c r="A12" s="358" t="s">
        <v>268</v>
      </c>
      <c r="G12" s="73"/>
      <c r="H12" s="73"/>
      <c r="I12" s="84"/>
      <c r="J12" s="84"/>
      <c r="K12" s="84"/>
      <c r="L12" s="362"/>
      <c r="M12" s="399"/>
      <c r="N12" s="84"/>
      <c r="O12" s="84"/>
      <c r="P12" s="84"/>
      <c r="Q12" s="84"/>
      <c r="R12" s="84"/>
    </row>
    <row r="13" spans="1:18" s="72" customFormat="1" ht="7.5" customHeight="1">
      <c r="A13" s="358" t="s">
        <v>269</v>
      </c>
      <c r="B13" s="569">
        <v>37318</v>
      </c>
      <c r="C13" s="569">
        <v>23687</v>
      </c>
      <c r="D13" s="569">
        <v>7420</v>
      </c>
      <c r="E13" s="569">
        <v>11986</v>
      </c>
      <c r="F13" s="569">
        <v>15586</v>
      </c>
      <c r="G13" s="568">
        <f aca="true" t="shared" si="0" ref="G13:G20">SUM(B13:F13)</f>
        <v>95997</v>
      </c>
      <c r="H13" s="569">
        <v>1301986</v>
      </c>
      <c r="I13" s="366"/>
      <c r="J13" s="84"/>
      <c r="K13" s="84"/>
      <c r="L13" s="362"/>
      <c r="M13" s="399"/>
      <c r="N13" s="84"/>
      <c r="O13" s="84"/>
      <c r="P13" s="84"/>
      <c r="Q13" s="84"/>
      <c r="R13" s="84"/>
    </row>
    <row r="14" spans="1:18" s="72" customFormat="1" ht="7.5" customHeight="1">
      <c r="A14" s="572" t="s">
        <v>198</v>
      </c>
      <c r="B14" s="576">
        <v>14092</v>
      </c>
      <c r="C14" s="576">
        <v>9074</v>
      </c>
      <c r="D14" s="576">
        <v>2633</v>
      </c>
      <c r="E14" s="576">
        <v>2979</v>
      </c>
      <c r="F14" s="576">
        <v>6960</v>
      </c>
      <c r="G14" s="577">
        <f t="shared" si="0"/>
        <v>35738</v>
      </c>
      <c r="H14" s="728">
        <v>329810</v>
      </c>
      <c r="I14" s="366"/>
      <c r="J14" s="84"/>
      <c r="K14" s="84"/>
      <c r="L14" s="362"/>
      <c r="M14" s="399"/>
      <c r="N14" s="84"/>
      <c r="O14" s="84"/>
      <c r="P14" s="84"/>
      <c r="Q14" s="84"/>
      <c r="R14" s="84"/>
    </row>
    <row r="15" spans="1:18" s="72" customFormat="1" ht="7.5" customHeight="1">
      <c r="A15" s="573" t="s">
        <v>199</v>
      </c>
      <c r="B15" s="576">
        <v>2325</v>
      </c>
      <c r="C15" s="576">
        <v>1050</v>
      </c>
      <c r="D15" s="576">
        <v>201</v>
      </c>
      <c r="E15" s="576">
        <v>1307</v>
      </c>
      <c r="F15" s="576">
        <v>975</v>
      </c>
      <c r="G15" s="577">
        <f t="shared" si="0"/>
        <v>5858</v>
      </c>
      <c r="H15" s="728">
        <v>128223</v>
      </c>
      <c r="I15" s="366"/>
      <c r="J15" s="84"/>
      <c r="K15" s="84"/>
      <c r="L15" s="362"/>
      <c r="M15" s="399"/>
      <c r="N15" s="84"/>
      <c r="O15" s="84"/>
      <c r="P15" s="84"/>
      <c r="Q15" s="84"/>
      <c r="R15" s="84"/>
    </row>
    <row r="16" spans="1:18" s="72" customFormat="1" ht="7.5" customHeight="1">
      <c r="A16" s="572" t="s">
        <v>200</v>
      </c>
      <c r="B16" s="576">
        <v>20901</v>
      </c>
      <c r="C16" s="576">
        <v>13563</v>
      </c>
      <c r="D16" s="576">
        <v>4586</v>
      </c>
      <c r="E16" s="576">
        <v>7700</v>
      </c>
      <c r="F16" s="576">
        <v>7651</v>
      </c>
      <c r="G16" s="577">
        <f t="shared" si="0"/>
        <v>54401</v>
      </c>
      <c r="H16" s="728">
        <v>843953</v>
      </c>
      <c r="I16" s="366"/>
      <c r="J16" s="84"/>
      <c r="K16" s="84"/>
      <c r="L16" s="362"/>
      <c r="M16" s="399"/>
      <c r="N16" s="84"/>
      <c r="O16" s="84"/>
      <c r="P16" s="84"/>
      <c r="Q16" s="84"/>
      <c r="R16" s="84"/>
    </row>
    <row r="17" spans="1:19" ht="7.5" customHeight="1">
      <c r="A17" s="358" t="s">
        <v>682</v>
      </c>
      <c r="B17" s="535">
        <v>7385</v>
      </c>
      <c r="C17" s="535">
        <v>4363</v>
      </c>
      <c r="D17" s="535">
        <v>893</v>
      </c>
      <c r="E17" s="535">
        <v>2002</v>
      </c>
      <c r="F17" s="535">
        <v>2806</v>
      </c>
      <c r="G17" s="527">
        <f t="shared" si="0"/>
        <v>17449</v>
      </c>
      <c r="H17" s="451">
        <v>327754</v>
      </c>
      <c r="I17" s="366"/>
      <c r="L17" s="362"/>
      <c r="M17" s="399"/>
      <c r="P17" s="72"/>
      <c r="Q17" s="72"/>
      <c r="R17" s="72"/>
      <c r="S17" s="72"/>
    </row>
    <row r="18" spans="1:19" ht="7.5" customHeight="1">
      <c r="A18" s="575" t="s">
        <v>636</v>
      </c>
      <c r="B18" s="576">
        <v>1526</v>
      </c>
      <c r="C18" s="576">
        <v>880</v>
      </c>
      <c r="D18" s="576">
        <v>208</v>
      </c>
      <c r="E18" s="576">
        <v>524</v>
      </c>
      <c r="F18" s="576">
        <v>757</v>
      </c>
      <c r="G18" s="577">
        <f t="shared" si="0"/>
        <v>3895</v>
      </c>
      <c r="H18" s="578">
        <v>73816</v>
      </c>
      <c r="I18" s="366"/>
      <c r="L18" s="362"/>
      <c r="M18" s="399"/>
      <c r="P18" s="72"/>
      <c r="Q18" s="72"/>
      <c r="R18" s="72"/>
      <c r="S18" s="72"/>
    </row>
    <row r="19" spans="1:19" ht="7.5" customHeight="1">
      <c r="A19" s="572" t="s">
        <v>635</v>
      </c>
      <c r="B19" s="576">
        <v>721</v>
      </c>
      <c r="C19" s="576">
        <v>375</v>
      </c>
      <c r="D19" s="576">
        <v>59</v>
      </c>
      <c r="E19" s="576">
        <v>214</v>
      </c>
      <c r="F19" s="576">
        <v>133</v>
      </c>
      <c r="G19" s="577">
        <v>1502</v>
      </c>
      <c r="H19" s="576">
        <v>33765</v>
      </c>
      <c r="I19" s="366"/>
      <c r="L19" s="362"/>
      <c r="M19" s="399"/>
      <c r="P19" s="72"/>
      <c r="Q19" s="72"/>
      <c r="R19" s="72"/>
      <c r="S19" s="72"/>
    </row>
    <row r="20" spans="1:19" ht="7.5" customHeight="1">
      <c r="A20" s="574" t="s">
        <v>634</v>
      </c>
      <c r="B20" s="569">
        <v>3441</v>
      </c>
      <c r="C20" s="569">
        <v>2069</v>
      </c>
      <c r="D20" s="569">
        <v>905</v>
      </c>
      <c r="E20" s="569">
        <v>950</v>
      </c>
      <c r="F20" s="569">
        <v>1764</v>
      </c>
      <c r="G20" s="568">
        <f t="shared" si="0"/>
        <v>9129</v>
      </c>
      <c r="H20" s="569">
        <v>110791</v>
      </c>
      <c r="I20" s="366"/>
      <c r="L20" s="362"/>
      <c r="M20" s="399"/>
      <c r="P20" s="72"/>
      <c r="Q20" s="72"/>
      <c r="R20" s="72"/>
      <c r="S20" s="72"/>
    </row>
    <row r="21" spans="1:19" ht="7.5" customHeight="1">
      <c r="A21" s="381"/>
      <c r="B21" s="535"/>
      <c r="C21" s="535"/>
      <c r="D21" s="535"/>
      <c r="E21" s="535"/>
      <c r="F21" s="535"/>
      <c r="G21" s="527"/>
      <c r="H21" s="451"/>
      <c r="I21" s="366"/>
      <c r="L21" s="362"/>
      <c r="M21" s="399"/>
      <c r="P21" s="72"/>
      <c r="Q21" s="72"/>
      <c r="R21" s="72"/>
      <c r="S21" s="72"/>
    </row>
    <row r="22" spans="1:19" ht="7.5" customHeight="1">
      <c r="A22" s="830" t="s">
        <v>779</v>
      </c>
      <c r="B22" s="906">
        <v>100</v>
      </c>
      <c r="C22" s="906">
        <v>75</v>
      </c>
      <c r="D22" s="906">
        <v>28</v>
      </c>
      <c r="E22" s="906">
        <v>41</v>
      </c>
      <c r="F22" s="989" t="s">
        <v>324</v>
      </c>
      <c r="G22" s="882" t="s">
        <v>324</v>
      </c>
      <c r="H22" s="990" t="s">
        <v>324</v>
      </c>
      <c r="J22" s="692"/>
      <c r="K22" s="692"/>
      <c r="L22" s="692"/>
      <c r="M22" s="692"/>
      <c r="N22" s="692"/>
      <c r="P22" s="72"/>
      <c r="Q22" s="72"/>
      <c r="R22" s="72"/>
      <c r="S22" s="72"/>
    </row>
    <row r="23" spans="1:19" ht="7.5" customHeight="1" thickBot="1">
      <c r="A23" s="874"/>
      <c r="B23" s="837"/>
      <c r="C23" s="837"/>
      <c r="D23" s="837"/>
      <c r="E23" s="837"/>
      <c r="F23" s="837"/>
      <c r="G23" s="837"/>
      <c r="H23" s="844"/>
      <c r="I23" s="288"/>
      <c r="L23" s="362"/>
      <c r="M23" s="399"/>
      <c r="P23" s="72"/>
      <c r="Q23" s="72"/>
      <c r="R23" s="72"/>
      <c r="S23" s="72"/>
    </row>
    <row r="24" spans="1:19" ht="7.5" customHeight="1">
      <c r="A24" s="74" t="s">
        <v>171</v>
      </c>
      <c r="B24" s="582"/>
      <c r="C24" s="582"/>
      <c r="D24" s="582"/>
      <c r="E24" s="582"/>
      <c r="F24" s="582"/>
      <c r="G24" s="583"/>
      <c r="H24" s="582"/>
      <c r="I24" s="581"/>
      <c r="L24" s="362"/>
      <c r="M24" s="399"/>
      <c r="P24" s="72"/>
      <c r="Q24" s="72"/>
      <c r="R24" s="72"/>
      <c r="S24" s="72"/>
    </row>
    <row r="25" spans="1:19" ht="7.5" customHeight="1">
      <c r="A25" s="74" t="s">
        <v>203</v>
      </c>
      <c r="B25" s="582"/>
      <c r="C25" s="582"/>
      <c r="D25" s="582"/>
      <c r="E25" s="582"/>
      <c r="F25" s="582"/>
      <c r="G25" s="583"/>
      <c r="H25" s="582"/>
      <c r="I25" s="581"/>
      <c r="L25" s="362"/>
      <c r="M25" s="399"/>
      <c r="N25" s="72"/>
      <c r="O25" s="72"/>
      <c r="P25" s="72"/>
      <c r="Q25" s="72"/>
      <c r="R25" s="72"/>
      <c r="S25" s="72"/>
    </row>
    <row r="26" spans="1:19" ht="7.5" customHeight="1">
      <c r="A26" s="53" t="s">
        <v>683</v>
      </c>
      <c r="B26" s="582"/>
      <c r="C26" s="582"/>
      <c r="D26" s="582"/>
      <c r="E26" s="582"/>
      <c r="F26" s="582"/>
      <c r="G26" s="583"/>
      <c r="H26" s="582"/>
      <c r="I26" s="581"/>
      <c r="L26" s="362"/>
      <c r="M26" s="399"/>
      <c r="N26" s="72"/>
      <c r="O26" s="72"/>
      <c r="P26" s="72"/>
      <c r="Q26" s="72"/>
      <c r="R26" s="72"/>
      <c r="S26" s="72"/>
    </row>
    <row r="27" spans="1:19" ht="7.5" customHeight="1">
      <c r="A27" s="599" t="s">
        <v>685</v>
      </c>
      <c r="B27" s="358"/>
      <c r="C27" s="188"/>
      <c r="D27" s="188"/>
      <c r="E27" s="188"/>
      <c r="F27" s="188"/>
      <c r="G27" s="233"/>
      <c r="H27" s="188"/>
      <c r="I27" s="364"/>
      <c r="L27" s="362"/>
      <c r="M27" s="399"/>
      <c r="N27" s="72"/>
      <c r="O27" s="72"/>
      <c r="P27" s="72"/>
      <c r="Q27" s="72"/>
      <c r="R27" s="72"/>
      <c r="S27" s="72"/>
    </row>
    <row r="29" spans="8:19" ht="9.75" customHeight="1">
      <c r="H29" s="72"/>
      <c r="N29" s="72"/>
      <c r="O29" s="72"/>
      <c r="P29" s="72"/>
      <c r="Q29" s="72"/>
      <c r="R29" s="72"/>
      <c r="S29" s="72"/>
    </row>
  </sheetData>
  <sheetProtection/>
  <mergeCells count="2">
    <mergeCell ref="A1:H1"/>
    <mergeCell ref="A2:H2"/>
  </mergeCells>
  <printOptions/>
  <pageMargins left="0.5905511811023623" right="0.5905511811023623" top="0.7874015748031497" bottom="0.7874015748031497"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87401575" right="0.787401575" top="0.984251969" bottom="0.984251969" header="0.4921259845" footer="0.4921259845"/>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L25"/>
  <sheetViews>
    <sheetView zoomScale="140" zoomScaleNormal="140" zoomScalePageLayoutView="0" workbookViewId="0" topLeftCell="A1">
      <selection activeCell="A1" sqref="A1:H1"/>
    </sheetView>
  </sheetViews>
  <sheetFormatPr defaultColWidth="11.421875" defaultRowHeight="9.75" customHeight="1"/>
  <cols>
    <col min="1" max="1" width="25.7109375" style="72" customWidth="1"/>
    <col min="2" max="4" width="6.7109375" style="72" customWidth="1"/>
    <col min="5" max="6" width="5.7109375" style="72" customWidth="1"/>
    <col min="7" max="7" width="6.8515625" style="72" customWidth="1"/>
    <col min="8" max="8" width="9.28125" style="73" customWidth="1"/>
    <col min="9" max="9" width="5.57421875" style="206" customWidth="1"/>
    <col min="10" max="12" width="11.421875" style="84" customWidth="1"/>
    <col min="13" max="16384" width="11.421875" style="72" customWidth="1"/>
  </cols>
  <sheetData>
    <row r="1" spans="1:8" ht="15" customHeight="1">
      <c r="A1" s="1000" t="s">
        <v>211</v>
      </c>
      <c r="B1" s="1000"/>
      <c r="C1" s="1000"/>
      <c r="D1" s="1000"/>
      <c r="E1" s="1000"/>
      <c r="F1" s="1000"/>
      <c r="G1" s="1000"/>
      <c r="H1" s="1000"/>
    </row>
    <row r="2" spans="1:8" ht="9.75" customHeight="1">
      <c r="A2" s="1002" t="s">
        <v>762</v>
      </c>
      <c r="B2" s="1002"/>
      <c r="C2" s="1002"/>
      <c r="D2" s="1002"/>
      <c r="E2" s="1002"/>
      <c r="F2" s="1002"/>
      <c r="G2" s="1002"/>
      <c r="H2" s="1002"/>
    </row>
    <row r="3" spans="1:9" s="84" customFormat="1" ht="7.5" customHeight="1">
      <c r="A3" s="373"/>
      <c r="B3" s="373"/>
      <c r="C3" s="373"/>
      <c r="D3" s="373"/>
      <c r="E3" s="373"/>
      <c r="F3" s="373"/>
      <c r="G3" s="373"/>
      <c r="H3" s="373"/>
      <c r="I3" s="206"/>
    </row>
    <row r="4" spans="1:8" ht="19.5" customHeight="1">
      <c r="A4" s="105"/>
      <c r="B4" s="26" t="s">
        <v>521</v>
      </c>
      <c r="C4" s="26" t="s">
        <v>531</v>
      </c>
      <c r="D4" s="26" t="s">
        <v>523</v>
      </c>
      <c r="E4" s="26" t="s">
        <v>524</v>
      </c>
      <c r="F4" s="26" t="s">
        <v>525</v>
      </c>
      <c r="G4" s="27" t="s">
        <v>532</v>
      </c>
      <c r="H4" s="107" t="s">
        <v>527</v>
      </c>
    </row>
    <row r="5" spans="1:8" ht="7.5" customHeight="1">
      <c r="A5" s="105"/>
      <c r="B5" s="26"/>
      <c r="C5" s="26"/>
      <c r="D5" s="26"/>
      <c r="E5" s="26"/>
      <c r="F5" s="26"/>
      <c r="G5" s="27"/>
      <c r="H5" s="107"/>
    </row>
    <row r="6" spans="1:8" ht="9.75" customHeight="1">
      <c r="A6" s="830" t="s">
        <v>217</v>
      </c>
      <c r="B6" s="984">
        <v>39759</v>
      </c>
      <c r="C6" s="984">
        <v>25590</v>
      </c>
      <c r="D6" s="984">
        <v>8166</v>
      </c>
      <c r="E6" s="984">
        <v>12463</v>
      </c>
      <c r="F6" s="984">
        <v>17193</v>
      </c>
      <c r="G6" s="984">
        <v>103171</v>
      </c>
      <c r="H6" s="984">
        <v>1469740</v>
      </c>
    </row>
    <row r="7" spans="1:8" ht="7.5" customHeight="1">
      <c r="A7" s="358"/>
      <c r="B7" s="415"/>
      <c r="C7" s="188"/>
      <c r="D7" s="188"/>
      <c r="E7" s="188"/>
      <c r="F7" s="188"/>
      <c r="G7" s="233"/>
      <c r="H7" s="188"/>
    </row>
    <row r="8" spans="1:8" ht="7.5" customHeight="1">
      <c r="A8" s="830" t="s">
        <v>204</v>
      </c>
      <c r="B8" s="991"/>
      <c r="C8" s="991"/>
      <c r="D8" s="991"/>
      <c r="E8" s="991"/>
      <c r="F8" s="991"/>
      <c r="G8" s="991"/>
      <c r="H8" s="991"/>
    </row>
    <row r="9" spans="1:12" ht="7.5" customHeight="1">
      <c r="A9" s="358" t="s">
        <v>196</v>
      </c>
      <c r="B9" s="569">
        <v>51</v>
      </c>
      <c r="C9" s="579" t="s">
        <v>778</v>
      </c>
      <c r="D9" s="579" t="s">
        <v>778</v>
      </c>
      <c r="E9" s="579" t="s">
        <v>778</v>
      </c>
      <c r="F9" s="579" t="s">
        <v>778</v>
      </c>
      <c r="G9" s="586" t="s">
        <v>778</v>
      </c>
      <c r="H9" s="579" t="s">
        <v>778</v>
      </c>
      <c r="L9" s="399"/>
    </row>
    <row r="10" spans="1:12" ht="7.5" customHeight="1">
      <c r="A10" s="358" t="s">
        <v>197</v>
      </c>
      <c r="B10" s="569">
        <v>17</v>
      </c>
      <c r="C10" s="579" t="s">
        <v>778</v>
      </c>
      <c r="D10" s="579" t="s">
        <v>778</v>
      </c>
      <c r="E10" s="569">
        <v>106</v>
      </c>
      <c r="F10" s="579" t="s">
        <v>778</v>
      </c>
      <c r="G10" s="586">
        <v>236</v>
      </c>
      <c r="H10" s="579" t="s">
        <v>778</v>
      </c>
      <c r="K10" s="362"/>
      <c r="L10" s="399"/>
    </row>
    <row r="11" spans="1:12" ht="7.5" customHeight="1">
      <c r="A11" s="358" t="s">
        <v>267</v>
      </c>
      <c r="B11" s="569">
        <v>716</v>
      </c>
      <c r="C11" s="569">
        <v>374</v>
      </c>
      <c r="D11" s="579" t="s">
        <v>778</v>
      </c>
      <c r="E11" s="569">
        <v>170</v>
      </c>
      <c r="F11" s="579" t="s">
        <v>778</v>
      </c>
      <c r="G11" s="586" t="s">
        <v>778</v>
      </c>
      <c r="H11" s="569">
        <v>24308</v>
      </c>
      <c r="K11" s="362"/>
      <c r="L11" s="399"/>
    </row>
    <row r="12" spans="1:12" ht="7.5" customHeight="1">
      <c r="A12" s="358" t="s">
        <v>268</v>
      </c>
      <c r="B12" s="70"/>
      <c r="C12" s="70"/>
      <c r="D12" s="70"/>
      <c r="E12" s="70"/>
      <c r="F12" s="70"/>
      <c r="G12" s="71"/>
      <c r="H12" s="70"/>
      <c r="I12" s="84"/>
      <c r="K12" s="362"/>
      <c r="L12" s="399"/>
    </row>
    <row r="13" spans="1:12" ht="7.5" customHeight="1">
      <c r="A13" s="358" t="s">
        <v>269</v>
      </c>
      <c r="B13" s="70">
        <v>29986</v>
      </c>
      <c r="C13" s="70">
        <v>19586</v>
      </c>
      <c r="D13" s="70">
        <v>6537</v>
      </c>
      <c r="E13" s="70">
        <v>9576</v>
      </c>
      <c r="F13" s="70">
        <v>12769</v>
      </c>
      <c r="G13" s="71">
        <v>78454</v>
      </c>
      <c r="H13" s="70">
        <v>1064458</v>
      </c>
      <c r="K13" s="362"/>
      <c r="L13" s="399"/>
    </row>
    <row r="14" spans="1:12" s="105" customFormat="1" ht="7.5" customHeight="1">
      <c r="A14" s="572" t="s">
        <v>198</v>
      </c>
      <c r="B14" s="579">
        <v>12028</v>
      </c>
      <c r="C14" s="579" t="s">
        <v>778</v>
      </c>
      <c r="D14" s="579" t="s">
        <v>778</v>
      </c>
      <c r="E14" s="579" t="s">
        <v>778</v>
      </c>
      <c r="F14" s="579">
        <v>6200</v>
      </c>
      <c r="G14" s="233">
        <v>31714</v>
      </c>
      <c r="H14" s="579" t="s">
        <v>778</v>
      </c>
      <c r="I14" s="396"/>
      <c r="J14" s="118"/>
      <c r="K14" s="584"/>
      <c r="L14" s="585"/>
    </row>
    <row r="15" spans="1:12" s="105" customFormat="1" ht="7.5" customHeight="1">
      <c r="A15" s="573" t="s">
        <v>199</v>
      </c>
      <c r="B15" s="579">
        <v>1686</v>
      </c>
      <c r="C15" s="579" t="s">
        <v>778</v>
      </c>
      <c r="D15" s="579" t="s">
        <v>778</v>
      </c>
      <c r="E15" s="579" t="s">
        <v>778</v>
      </c>
      <c r="F15" s="579" t="s">
        <v>778</v>
      </c>
      <c r="G15" s="233">
        <v>4524</v>
      </c>
      <c r="H15" s="579" t="s">
        <v>778</v>
      </c>
      <c r="I15" s="396"/>
      <c r="J15" s="118"/>
      <c r="K15" s="584"/>
      <c r="L15" s="585"/>
    </row>
    <row r="16" spans="1:12" s="105" customFormat="1" ht="7.5" customHeight="1">
      <c r="A16" s="572" t="s">
        <v>200</v>
      </c>
      <c r="B16" s="579">
        <v>16272</v>
      </c>
      <c r="C16" s="579">
        <v>10764</v>
      </c>
      <c r="D16" s="579" t="s">
        <v>778</v>
      </c>
      <c r="E16" s="579">
        <v>5627</v>
      </c>
      <c r="F16" s="579" t="s">
        <v>778</v>
      </c>
      <c r="G16" s="233">
        <v>42216</v>
      </c>
      <c r="H16" s="188">
        <v>664230</v>
      </c>
      <c r="I16" s="396"/>
      <c r="J16" s="118"/>
      <c r="K16" s="584"/>
      <c r="L16" s="585"/>
    </row>
    <row r="17" spans="1:12" ht="7.5" customHeight="1">
      <c r="A17" s="358" t="s">
        <v>682</v>
      </c>
      <c r="B17" s="70">
        <v>5991</v>
      </c>
      <c r="C17" s="70">
        <v>3663</v>
      </c>
      <c r="D17" s="579" t="s">
        <v>778</v>
      </c>
      <c r="E17" s="579" t="s">
        <v>778</v>
      </c>
      <c r="F17" s="70">
        <v>2394</v>
      </c>
      <c r="G17" s="71">
        <v>14634</v>
      </c>
      <c r="H17" s="70">
        <v>277436</v>
      </c>
      <c r="K17" s="362"/>
      <c r="L17" s="399"/>
    </row>
    <row r="18" spans="1:12" s="105" customFormat="1" ht="7.5" customHeight="1">
      <c r="A18" s="575" t="s">
        <v>636</v>
      </c>
      <c r="B18" s="579" t="s">
        <v>778</v>
      </c>
      <c r="C18" s="579">
        <v>698</v>
      </c>
      <c r="D18" s="579" t="s">
        <v>778</v>
      </c>
      <c r="E18" s="579" t="s">
        <v>778</v>
      </c>
      <c r="F18" s="579" t="s">
        <v>778</v>
      </c>
      <c r="G18" s="586">
        <v>3214</v>
      </c>
      <c r="H18" s="579" t="s">
        <v>778</v>
      </c>
      <c r="I18" s="763"/>
      <c r="J18" s="118"/>
      <c r="K18" s="584"/>
      <c r="L18" s="585"/>
    </row>
    <row r="19" spans="1:12" s="105" customFormat="1" ht="7.5" customHeight="1">
      <c r="A19" s="572" t="s">
        <v>635</v>
      </c>
      <c r="B19" s="579" t="s">
        <v>778</v>
      </c>
      <c r="C19" s="579">
        <v>411</v>
      </c>
      <c r="D19" s="579" t="s">
        <v>778</v>
      </c>
      <c r="E19" s="579" t="s">
        <v>778</v>
      </c>
      <c r="F19" s="579" t="s">
        <v>778</v>
      </c>
      <c r="G19" s="586">
        <v>1698</v>
      </c>
      <c r="H19" s="579" t="s">
        <v>778</v>
      </c>
      <c r="I19" s="763"/>
      <c r="J19" s="118"/>
      <c r="K19" s="584"/>
      <c r="L19" s="585"/>
    </row>
    <row r="20" spans="1:12" ht="7.5" customHeight="1">
      <c r="A20" s="358" t="s">
        <v>634</v>
      </c>
      <c r="B20" s="569">
        <v>2998</v>
      </c>
      <c r="C20" s="569">
        <v>1811</v>
      </c>
      <c r="D20" s="579" t="s">
        <v>778</v>
      </c>
      <c r="E20" s="569">
        <v>815</v>
      </c>
      <c r="F20" s="579" t="s">
        <v>778</v>
      </c>
      <c r="G20" s="568">
        <v>7813</v>
      </c>
      <c r="H20" s="569">
        <v>96590</v>
      </c>
      <c r="K20" s="362"/>
      <c r="L20" s="399"/>
    </row>
    <row r="21" spans="1:12" ht="7.5" customHeight="1" thickBot="1">
      <c r="A21" s="874"/>
      <c r="B21" s="837"/>
      <c r="C21" s="837"/>
      <c r="D21" s="837"/>
      <c r="E21" s="837"/>
      <c r="F21" s="837"/>
      <c r="G21" s="844"/>
      <c r="H21" s="844"/>
      <c r="K21" s="362"/>
      <c r="L21" s="399"/>
    </row>
    <row r="22" spans="1:12" ht="7.5" customHeight="1">
      <c r="A22" s="74" t="s">
        <v>205</v>
      </c>
      <c r="B22" s="356"/>
      <c r="C22" s="356"/>
      <c r="D22" s="356"/>
      <c r="E22" s="356"/>
      <c r="F22" s="356"/>
      <c r="G22" s="357"/>
      <c r="H22" s="356"/>
      <c r="K22" s="362"/>
      <c r="L22" s="399"/>
    </row>
    <row r="23" spans="1:12" ht="7.5" customHeight="1">
      <c r="A23" s="74" t="s">
        <v>206</v>
      </c>
      <c r="B23" s="358"/>
      <c r="C23" s="188"/>
      <c r="D23" s="188"/>
      <c r="E23" s="188"/>
      <c r="F23" s="188"/>
      <c r="G23" s="233"/>
      <c r="H23" s="188"/>
      <c r="K23" s="362"/>
      <c r="L23" s="399"/>
    </row>
    <row r="24" spans="1:12" ht="7.5" customHeight="1">
      <c r="A24" s="53" t="s">
        <v>683</v>
      </c>
      <c r="B24" s="358"/>
      <c r="C24" s="188"/>
      <c r="D24" s="188"/>
      <c r="E24" s="188"/>
      <c r="F24" s="188"/>
      <c r="G24" s="233"/>
      <c r="H24" s="188"/>
      <c r="K24" s="362"/>
      <c r="L24" s="399"/>
    </row>
    <row r="25" ht="9.75" customHeight="1">
      <c r="A25" s="53" t="s">
        <v>494</v>
      </c>
    </row>
  </sheetData>
  <sheetProtection/>
  <mergeCells count="2">
    <mergeCell ref="A1:H1"/>
    <mergeCell ref="A2:H2"/>
  </mergeCells>
  <printOptions/>
  <pageMargins left="0.5905511811023623" right="0.5905511811023623" top="0.7874015748031497" bottom="0.7874015748031497" header="0.31496062992125984" footer="0.31496062992125984"/>
  <pageSetup horizontalDpi="600" verticalDpi="600" orientation="landscape" paperSize="9" r:id="rId2"/>
  <drawing r:id="rId1"/>
</worksheet>
</file>

<file path=xl/worksheets/sheet51.xml><?xml version="1.0" encoding="utf-8"?>
<worksheet xmlns="http://schemas.openxmlformats.org/spreadsheetml/2006/main" xmlns:r="http://schemas.openxmlformats.org/officeDocument/2006/relationships">
  <dimension ref="A1:M33"/>
  <sheetViews>
    <sheetView zoomScale="140" zoomScaleNormal="140" zoomScalePageLayoutView="0" workbookViewId="0" topLeftCell="A1">
      <selection activeCell="A1" sqref="A1:H1"/>
    </sheetView>
  </sheetViews>
  <sheetFormatPr defaultColWidth="11.421875" defaultRowHeight="9.75" customHeight="1"/>
  <cols>
    <col min="1" max="1" width="25.7109375" style="72" customWidth="1"/>
    <col min="2" max="4" width="6.7109375" style="72" customWidth="1"/>
    <col min="5" max="6" width="5.7109375" style="72" customWidth="1"/>
    <col min="7" max="7" width="6.8515625" style="72" customWidth="1"/>
    <col min="8" max="8" width="9.28125" style="73" customWidth="1"/>
    <col min="9" max="9" width="5.28125" style="206" customWidth="1"/>
    <col min="10" max="13" width="11.421875" style="84" customWidth="1"/>
    <col min="14" max="16384" width="11.421875" style="72" customWidth="1"/>
  </cols>
  <sheetData>
    <row r="1" spans="1:8" ht="15" customHeight="1">
      <c r="A1" s="1000" t="s">
        <v>207</v>
      </c>
      <c r="B1" s="1000"/>
      <c r="C1" s="1000"/>
      <c r="D1" s="1000"/>
      <c r="E1" s="1000"/>
      <c r="F1" s="1000"/>
      <c r="G1" s="1000"/>
      <c r="H1" s="1000"/>
    </row>
    <row r="2" spans="1:8" ht="9.75" customHeight="1">
      <c r="A2" s="1002" t="s">
        <v>742</v>
      </c>
      <c r="B2" s="1002"/>
      <c r="C2" s="1002"/>
      <c r="D2" s="1002"/>
      <c r="E2" s="1002"/>
      <c r="F2" s="1002"/>
      <c r="G2" s="1002"/>
      <c r="H2" s="1002"/>
    </row>
    <row r="3" spans="1:8" ht="7.5" customHeight="1">
      <c r="A3" s="373"/>
      <c r="B3" s="373"/>
      <c r="C3" s="373"/>
      <c r="D3" s="373"/>
      <c r="E3" s="373"/>
      <c r="F3" s="373"/>
      <c r="G3" s="373"/>
      <c r="H3" s="373"/>
    </row>
    <row r="4" spans="1:10" ht="19.5" customHeight="1">
      <c r="A4" s="105"/>
      <c r="B4" s="26" t="s">
        <v>521</v>
      </c>
      <c r="C4" s="26" t="s">
        <v>531</v>
      </c>
      <c r="D4" s="26" t="s">
        <v>523</v>
      </c>
      <c r="E4" s="26" t="s">
        <v>524</v>
      </c>
      <c r="F4" s="26" t="s">
        <v>525</v>
      </c>
      <c r="G4" s="27" t="s">
        <v>532</v>
      </c>
      <c r="H4" s="107" t="s">
        <v>527</v>
      </c>
      <c r="J4" s="422"/>
    </row>
    <row r="5" spans="1:8" ht="7.5" customHeight="1">
      <c r="A5" s="105"/>
      <c r="B5" s="26"/>
      <c r="C5" s="26"/>
      <c r="D5" s="26"/>
      <c r="E5" s="26"/>
      <c r="F5" s="26"/>
      <c r="G5" s="27"/>
      <c r="H5" s="107"/>
    </row>
    <row r="6" spans="1:8" ht="9.75" customHeight="1">
      <c r="A6" s="830" t="s">
        <v>272</v>
      </c>
      <c r="B6" s="992">
        <v>0.09154331263426191</v>
      </c>
      <c r="C6" s="992">
        <v>0.10789319459142672</v>
      </c>
      <c r="D6" s="992">
        <v>0.09045493315019329</v>
      </c>
      <c r="E6" s="992">
        <v>0.07730334569723735</v>
      </c>
      <c r="F6" s="992">
        <v>0.09074547143520668</v>
      </c>
      <c r="G6" s="992">
        <v>0.09274122868127511</v>
      </c>
      <c r="H6" s="992">
        <v>0.07414900603331574</v>
      </c>
    </row>
    <row r="7" spans="1:12" ht="7.5" customHeight="1">
      <c r="A7" s="358" t="s">
        <v>268</v>
      </c>
      <c r="B7" s="416"/>
      <c r="C7" s="417"/>
      <c r="D7" s="417"/>
      <c r="E7" s="417"/>
      <c r="F7" s="417"/>
      <c r="G7" s="418"/>
      <c r="H7" s="417"/>
      <c r="I7" s="84"/>
      <c r="K7" s="362"/>
      <c r="L7" s="399"/>
    </row>
    <row r="8" spans="1:12" ht="7.5" customHeight="1">
      <c r="A8" s="358" t="s">
        <v>269</v>
      </c>
      <c r="B8" s="587">
        <v>0.23170599780549245</v>
      </c>
      <c r="C8" s="587">
        <v>0.2646041610375574</v>
      </c>
      <c r="D8" s="587">
        <v>0.23898658282455307</v>
      </c>
      <c r="E8" s="587">
        <v>0.19559223023346065</v>
      </c>
      <c r="F8" s="587">
        <v>0.2632186514398796</v>
      </c>
      <c r="G8" s="588">
        <v>0.2390017577690651</v>
      </c>
      <c r="H8" s="587">
        <v>0.17232119412533953</v>
      </c>
      <c r="K8" s="362"/>
      <c r="L8" s="399"/>
    </row>
    <row r="9" spans="1:12" ht="7.5" customHeight="1">
      <c r="A9" s="572" t="s">
        <v>198</v>
      </c>
      <c r="B9" s="560" t="s">
        <v>324</v>
      </c>
      <c r="C9" s="560" t="s">
        <v>324</v>
      </c>
      <c r="D9" s="560" t="s">
        <v>324</v>
      </c>
      <c r="E9" s="560" t="s">
        <v>324</v>
      </c>
      <c r="F9" s="560" t="s">
        <v>324</v>
      </c>
      <c r="G9" s="590">
        <v>0.3713974540642456</v>
      </c>
      <c r="H9" s="560" t="s">
        <v>324</v>
      </c>
      <c r="I9" s="396"/>
      <c r="K9" s="362"/>
      <c r="L9" s="399"/>
    </row>
    <row r="10" spans="1:12" ht="7.5" customHeight="1">
      <c r="A10" s="573" t="s">
        <v>199</v>
      </c>
      <c r="B10" s="560" t="s">
        <v>324</v>
      </c>
      <c r="C10" s="560" t="s">
        <v>324</v>
      </c>
      <c r="D10" s="560" t="s">
        <v>324</v>
      </c>
      <c r="E10" s="560" t="s">
        <v>324</v>
      </c>
      <c r="F10" s="560" t="s">
        <v>324</v>
      </c>
      <c r="G10" s="590">
        <v>0.06502802932298404</v>
      </c>
      <c r="H10" s="560" t="s">
        <v>324</v>
      </c>
      <c r="I10" s="396"/>
      <c r="K10" s="362"/>
      <c r="L10" s="399"/>
    </row>
    <row r="11" spans="1:12" ht="7.5" customHeight="1">
      <c r="A11" s="572" t="s">
        <v>200</v>
      </c>
      <c r="B11" s="560" t="s">
        <v>324</v>
      </c>
      <c r="C11" s="560" t="s">
        <v>324</v>
      </c>
      <c r="D11" s="560" t="s">
        <v>324</v>
      </c>
      <c r="E11" s="560" t="s">
        <v>324</v>
      </c>
      <c r="F11" s="560" t="s">
        <v>324</v>
      </c>
      <c r="G11" s="590">
        <v>0.601556043204423</v>
      </c>
      <c r="H11" s="589">
        <v>0.5691334858494204</v>
      </c>
      <c r="I11" s="396"/>
      <c r="K11" s="362"/>
      <c r="L11" s="399"/>
    </row>
    <row r="12" spans="1:12" ht="7.5" customHeight="1">
      <c r="A12" s="358" t="s">
        <v>680</v>
      </c>
      <c r="B12" s="691">
        <v>0.42285431959345005</v>
      </c>
      <c r="C12" s="691">
        <v>0.45971385542168675</v>
      </c>
      <c r="D12" s="379" t="s">
        <v>324</v>
      </c>
      <c r="E12" s="379" t="s">
        <v>324</v>
      </c>
      <c r="F12" s="691">
        <v>0.3884471848125913</v>
      </c>
      <c r="G12" s="588">
        <v>0.4119700467316029</v>
      </c>
      <c r="H12" s="691">
        <v>0.3983590998309993</v>
      </c>
      <c r="K12" s="362"/>
      <c r="L12" s="399"/>
    </row>
    <row r="13" spans="1:12" ht="7.5" customHeight="1">
      <c r="A13" s="575" t="s">
        <v>636</v>
      </c>
      <c r="B13" s="560" t="s">
        <v>324</v>
      </c>
      <c r="C13" s="560" t="s">
        <v>324</v>
      </c>
      <c r="D13" s="560" t="s">
        <v>324</v>
      </c>
      <c r="E13" s="560" t="s">
        <v>324</v>
      </c>
      <c r="F13" s="560" t="s">
        <v>324</v>
      </c>
      <c r="G13" s="733">
        <v>0.5608096318269064</v>
      </c>
      <c r="H13" s="560" t="s">
        <v>324</v>
      </c>
      <c r="I13" s="396"/>
      <c r="K13" s="362"/>
      <c r="L13" s="399"/>
    </row>
    <row r="14" spans="1:12" ht="7.5" customHeight="1">
      <c r="A14" s="572" t="s">
        <v>635</v>
      </c>
      <c r="B14" s="560" t="s">
        <v>324</v>
      </c>
      <c r="C14" s="560" t="s">
        <v>324</v>
      </c>
      <c r="D14" s="560" t="s">
        <v>324</v>
      </c>
      <c r="E14" s="560" t="s">
        <v>324</v>
      </c>
      <c r="F14" s="560" t="s">
        <v>324</v>
      </c>
      <c r="G14" s="733">
        <v>0.36484744305973354</v>
      </c>
      <c r="H14" s="560" t="s">
        <v>324</v>
      </c>
      <c r="I14" s="396"/>
      <c r="J14" s="118"/>
      <c r="K14" s="584"/>
      <c r="L14" s="399"/>
    </row>
    <row r="15" spans="1:12" ht="7.5" customHeight="1">
      <c r="A15" s="358"/>
      <c r="B15" s="419"/>
      <c r="C15" s="417"/>
      <c r="D15" s="417"/>
      <c r="E15" s="417"/>
      <c r="F15" s="417"/>
      <c r="G15" s="418"/>
      <c r="H15" s="417"/>
      <c r="K15" s="362"/>
      <c r="L15" s="399"/>
    </row>
    <row r="16" spans="1:9" ht="7.5" customHeight="1">
      <c r="A16" s="830" t="s">
        <v>270</v>
      </c>
      <c r="B16" s="993"/>
      <c r="C16" s="993"/>
      <c r="D16" s="993"/>
      <c r="E16" s="993"/>
      <c r="F16" s="993"/>
      <c r="G16" s="993"/>
      <c r="H16" s="993"/>
      <c r="I16" s="84"/>
    </row>
    <row r="17" spans="1:8" ht="7.5" customHeight="1">
      <c r="A17" s="830" t="s">
        <v>271</v>
      </c>
      <c r="B17" s="992">
        <v>0.02820277261644091</v>
      </c>
      <c r="C17" s="992">
        <v>0.03236374215255145</v>
      </c>
      <c r="D17" s="994" t="s">
        <v>324</v>
      </c>
      <c r="E17" s="992">
        <v>0.02621850615920904</v>
      </c>
      <c r="F17" s="994" t="s">
        <v>324</v>
      </c>
      <c r="G17" s="992">
        <v>0.02975115532140003</v>
      </c>
      <c r="H17" s="992">
        <v>0.022930978926403882</v>
      </c>
    </row>
    <row r="18" spans="1:12" ht="7.5" customHeight="1" thickBot="1">
      <c r="A18" s="874"/>
      <c r="B18" s="837"/>
      <c r="C18" s="837"/>
      <c r="D18" s="837"/>
      <c r="E18" s="837"/>
      <c r="F18" s="837"/>
      <c r="G18" s="837"/>
      <c r="H18" s="844"/>
      <c r="K18" s="362"/>
      <c r="L18" s="399"/>
    </row>
    <row r="19" spans="1:12" ht="7.5" customHeight="1">
      <c r="A19" s="74" t="s">
        <v>205</v>
      </c>
      <c r="B19" s="356"/>
      <c r="C19" s="356"/>
      <c r="D19" s="356"/>
      <c r="E19" s="356"/>
      <c r="F19" s="356"/>
      <c r="G19" s="357"/>
      <c r="H19" s="356"/>
      <c r="K19" s="362"/>
      <c r="L19" s="399"/>
    </row>
    <row r="20" spans="1:12" ht="7.5" customHeight="1">
      <c r="A20" s="74" t="s">
        <v>208</v>
      </c>
      <c r="B20" s="358"/>
      <c r="C20" s="188"/>
      <c r="D20" s="188"/>
      <c r="E20" s="188"/>
      <c r="F20" s="188"/>
      <c r="G20" s="233"/>
      <c r="H20" s="188"/>
      <c r="K20" s="362"/>
      <c r="L20" s="399"/>
    </row>
    <row r="21" spans="1:13" s="25" customFormat="1" ht="7.5" customHeight="1">
      <c r="A21" s="53" t="s">
        <v>681</v>
      </c>
      <c r="H21" s="31"/>
      <c r="I21" s="288"/>
      <c r="J21" s="15"/>
      <c r="K21" s="401"/>
      <c r="L21" s="402"/>
      <c r="M21" s="15"/>
    </row>
    <row r="22" ht="7.5" customHeight="1"/>
    <row r="23" spans="1:9" s="84" customFormat="1" ht="11.25" customHeight="1">
      <c r="A23" s="403"/>
      <c r="B23" s="404"/>
      <c r="I23" s="206"/>
    </row>
    <row r="24" spans="1:9" s="84" customFormat="1" ht="7.5" customHeight="1">
      <c r="A24" s="85"/>
      <c r="I24" s="206"/>
    </row>
    <row r="25" spans="1:8" ht="7.5" customHeight="1">
      <c r="A25" s="84"/>
      <c r="B25" s="84"/>
      <c r="C25" s="84"/>
      <c r="D25" s="84"/>
      <c r="E25" s="84"/>
      <c r="F25" s="84"/>
      <c r="G25" s="84"/>
      <c r="H25" s="84"/>
    </row>
    <row r="26" spans="1:8" ht="7.5" customHeight="1">
      <c r="A26" s="84"/>
      <c r="B26" s="84"/>
      <c r="C26" s="84"/>
      <c r="D26" s="84"/>
      <c r="E26" s="84"/>
      <c r="F26" s="84"/>
      <c r="G26" s="84"/>
      <c r="H26" s="84"/>
    </row>
    <row r="27" spans="1:8" ht="7.5" customHeight="1">
      <c r="A27" s="84"/>
      <c r="B27" s="84"/>
      <c r="C27" s="84"/>
      <c r="D27" s="84"/>
      <c r="E27" s="84"/>
      <c r="F27" s="84"/>
      <c r="G27" s="84"/>
      <c r="H27" s="84"/>
    </row>
    <row r="28" spans="1:8" ht="7.5" customHeight="1">
      <c r="A28" s="84"/>
      <c r="B28" s="84"/>
      <c r="C28" s="84"/>
      <c r="D28" s="84"/>
      <c r="E28" s="84"/>
      <c r="F28" s="84"/>
      <c r="G28" s="84"/>
      <c r="H28" s="84"/>
    </row>
    <row r="29" spans="1:8" ht="8.25" customHeight="1">
      <c r="A29" s="85"/>
      <c r="B29" s="84"/>
      <c r="C29" s="84"/>
      <c r="D29" s="84"/>
      <c r="E29" s="84"/>
      <c r="F29" s="84"/>
      <c r="G29" s="84"/>
      <c r="H29" s="85"/>
    </row>
    <row r="30" spans="1:8" ht="8.25" customHeight="1">
      <c r="A30" s="84"/>
      <c r="B30" s="84"/>
      <c r="C30" s="84"/>
      <c r="D30" s="84"/>
      <c r="E30" s="84"/>
      <c r="F30" s="84"/>
      <c r="G30" s="84"/>
      <c r="H30" s="84"/>
    </row>
    <row r="31" spans="1:8" ht="8.25" customHeight="1">
      <c r="A31" s="84"/>
      <c r="B31" s="84"/>
      <c r="C31" s="84"/>
      <c r="D31" s="84"/>
      <c r="E31" s="84"/>
      <c r="F31" s="84"/>
      <c r="G31" s="84"/>
      <c r="H31" s="84"/>
    </row>
    <row r="32" spans="1:8" ht="8.25" customHeight="1">
      <c r="A32" s="84"/>
      <c r="B32" s="84"/>
      <c r="C32" s="84"/>
      <c r="D32" s="84"/>
      <c r="E32" s="84"/>
      <c r="F32" s="84"/>
      <c r="G32" s="84"/>
      <c r="H32" s="84"/>
    </row>
    <row r="33" spans="1:8" ht="9.75" customHeight="1">
      <c r="A33" s="84"/>
      <c r="B33" s="84"/>
      <c r="C33" s="84"/>
      <c r="D33" s="84"/>
      <c r="E33" s="84"/>
      <c r="F33" s="84"/>
      <c r="G33" s="84"/>
      <c r="H33" s="85"/>
    </row>
  </sheetData>
  <sheetProtection/>
  <mergeCells count="2">
    <mergeCell ref="A1:H1"/>
    <mergeCell ref="A2:H2"/>
  </mergeCells>
  <printOptions/>
  <pageMargins left="0.5905511811023623" right="0.5905511811023623" top="0.7874015748031497" bottom="0.7874015748031497" header="0.31496062992125984" footer="0.31496062992125984"/>
  <pageSetup horizontalDpi="600" verticalDpi="600" orientation="landscape" paperSize="9" r:id="rId2"/>
  <drawing r:id="rId1"/>
</worksheet>
</file>

<file path=xl/worksheets/sheet52.xml><?xml version="1.0" encoding="utf-8"?>
<worksheet xmlns="http://schemas.openxmlformats.org/spreadsheetml/2006/main" xmlns:r="http://schemas.openxmlformats.org/officeDocument/2006/relationships">
  <dimension ref="A1:L22"/>
  <sheetViews>
    <sheetView zoomScale="140" zoomScaleNormal="140" zoomScalePageLayoutView="0" workbookViewId="0" topLeftCell="A1">
      <selection activeCell="A1" sqref="A1:H1"/>
    </sheetView>
  </sheetViews>
  <sheetFormatPr defaultColWidth="11.421875" defaultRowHeight="9.75" customHeight="1"/>
  <cols>
    <col min="1" max="1" width="25.7109375" style="72" customWidth="1"/>
    <col min="2" max="4" width="6.7109375" style="72" customWidth="1"/>
    <col min="5" max="6" width="5.7109375" style="72" customWidth="1"/>
    <col min="7" max="7" width="6.8515625" style="72" customWidth="1"/>
    <col min="8" max="8" width="9.57421875" style="73" customWidth="1"/>
    <col min="9" max="9" width="6.28125" style="282" customWidth="1"/>
    <col min="10" max="16384" width="11.421875" style="72" customWidth="1"/>
  </cols>
  <sheetData>
    <row r="1" spans="1:8" ht="15" customHeight="1">
      <c r="A1" s="1034" t="s">
        <v>209</v>
      </c>
      <c r="B1" s="1034"/>
      <c r="C1" s="1034"/>
      <c r="D1" s="1034"/>
      <c r="E1" s="1034"/>
      <c r="F1" s="1034"/>
      <c r="G1" s="1034"/>
      <c r="H1" s="1034"/>
    </row>
    <row r="2" spans="1:8" ht="9.75" customHeight="1">
      <c r="A2" s="1002" t="s">
        <v>742</v>
      </c>
      <c r="B2" s="1002"/>
      <c r="C2" s="1002"/>
      <c r="D2" s="1002"/>
      <c r="E2" s="1002"/>
      <c r="F2" s="1002"/>
      <c r="G2" s="1002"/>
      <c r="H2" s="1002"/>
    </row>
    <row r="3" spans="1:9" s="84" customFormat="1" ht="7.5" customHeight="1">
      <c r="A3" s="373"/>
      <c r="B3" s="373"/>
      <c r="C3" s="373"/>
      <c r="D3" s="373"/>
      <c r="E3" s="373"/>
      <c r="F3" s="373"/>
      <c r="G3" s="373"/>
      <c r="H3" s="373"/>
      <c r="I3" s="206"/>
    </row>
    <row r="4" spans="1:8" ht="19.5" customHeight="1">
      <c r="A4" s="105"/>
      <c r="B4" s="26" t="s">
        <v>521</v>
      </c>
      <c r="C4" s="26" t="s">
        <v>531</v>
      </c>
      <c r="D4" s="26" t="s">
        <v>523</v>
      </c>
      <c r="E4" s="26" t="s">
        <v>524</v>
      </c>
      <c r="F4" s="26" t="s">
        <v>525</v>
      </c>
      <c r="G4" s="27" t="s">
        <v>532</v>
      </c>
      <c r="H4" s="107" t="s">
        <v>527</v>
      </c>
    </row>
    <row r="5" spans="1:8" ht="7.5" customHeight="1">
      <c r="A5" s="105"/>
      <c r="B5" s="26"/>
      <c r="C5" s="26"/>
      <c r="D5" s="26"/>
      <c r="E5" s="26"/>
      <c r="F5" s="26"/>
      <c r="G5" s="27"/>
      <c r="H5" s="107"/>
    </row>
    <row r="6" spans="1:8" ht="9.75" customHeight="1">
      <c r="A6" s="830" t="s">
        <v>273</v>
      </c>
      <c r="B6" s="995">
        <v>0.07313516927460086</v>
      </c>
      <c r="C6" s="995">
        <v>0.09462141596059181</v>
      </c>
      <c r="D6" s="995">
        <v>0.07444144491132361</v>
      </c>
      <c r="E6" s="995">
        <v>0.0661843680983287</v>
      </c>
      <c r="F6" s="995">
        <v>0.07997899967856216</v>
      </c>
      <c r="G6" s="995">
        <v>0.07774231237367367</v>
      </c>
      <c r="H6" s="995">
        <v>0.0587994038492001</v>
      </c>
    </row>
    <row r="7" spans="1:12" ht="7.5" customHeight="1">
      <c r="A7" s="358" t="s">
        <v>196</v>
      </c>
      <c r="B7" s="592">
        <v>0.006523250203544546</v>
      </c>
      <c r="C7" s="591" t="s">
        <v>324</v>
      </c>
      <c r="D7" s="591" t="s">
        <v>324</v>
      </c>
      <c r="E7" s="591" t="s">
        <v>324</v>
      </c>
      <c r="F7" s="591" t="s">
        <v>324</v>
      </c>
      <c r="G7" s="597">
        <v>0.005556657955784302</v>
      </c>
      <c r="H7" s="592">
        <v>0.011231073517916582</v>
      </c>
      <c r="L7" s="359"/>
    </row>
    <row r="8" spans="1:12" ht="7.5" customHeight="1">
      <c r="A8" s="358" t="s">
        <v>197</v>
      </c>
      <c r="B8" s="591" t="s">
        <v>780</v>
      </c>
      <c r="C8" s="591" t="s">
        <v>324</v>
      </c>
      <c r="D8" s="591" t="s">
        <v>324</v>
      </c>
      <c r="E8" s="591" t="s">
        <v>324</v>
      </c>
      <c r="F8" s="591" t="s">
        <v>324</v>
      </c>
      <c r="G8" s="730">
        <v>0.0005031722464478837</v>
      </c>
      <c r="H8" s="591" t="s">
        <v>780</v>
      </c>
      <c r="K8" s="358"/>
      <c r="L8" s="359"/>
    </row>
    <row r="9" spans="1:12" ht="7.5" customHeight="1">
      <c r="A9" s="358" t="s">
        <v>267</v>
      </c>
      <c r="B9" s="592">
        <v>0.006033952433624278</v>
      </c>
      <c r="C9" s="592">
        <v>0.006798815152094734</v>
      </c>
      <c r="D9" s="592">
        <v>0.005827059676504497</v>
      </c>
      <c r="E9" s="592">
        <v>0.004192837502398685</v>
      </c>
      <c r="F9" s="592">
        <v>0.009565555174025275</v>
      </c>
      <c r="G9" s="597">
        <v>0.006505002238128552</v>
      </c>
      <c r="H9" s="592">
        <v>0.004428129068630182</v>
      </c>
      <c r="K9" s="358"/>
      <c r="L9" s="359"/>
    </row>
    <row r="10" spans="1:12" ht="7.5" customHeight="1">
      <c r="A10" s="358" t="s">
        <v>268</v>
      </c>
      <c r="B10" s="592"/>
      <c r="C10" s="592"/>
      <c r="D10" s="592"/>
      <c r="E10" s="592"/>
      <c r="F10" s="592"/>
      <c r="G10" s="597"/>
      <c r="H10" s="592"/>
      <c r="I10" s="72"/>
      <c r="K10" s="358"/>
      <c r="L10" s="359"/>
    </row>
    <row r="11" spans="1:12" ht="7.5" customHeight="1">
      <c r="A11" s="358" t="s">
        <v>269</v>
      </c>
      <c r="B11" s="592">
        <v>0.2025006166516069</v>
      </c>
      <c r="C11" s="592">
        <v>0.24860702136488644</v>
      </c>
      <c r="D11" s="592">
        <v>0.21178732456831778</v>
      </c>
      <c r="E11" s="592">
        <v>0.18451220952298578</v>
      </c>
      <c r="F11" s="592">
        <v>0.2460676853496096</v>
      </c>
      <c r="G11" s="597">
        <v>0.21697417675286584</v>
      </c>
      <c r="H11" s="592">
        <v>0.15503600275773474</v>
      </c>
      <c r="K11" s="358"/>
      <c r="L11" s="359"/>
    </row>
    <row r="12" spans="1:12" s="105" customFormat="1" ht="7.5" customHeight="1">
      <c r="A12" s="572" t="s">
        <v>198</v>
      </c>
      <c r="B12" s="594">
        <v>0.312451190284116</v>
      </c>
      <c r="C12" s="594">
        <v>0.3955091236288223</v>
      </c>
      <c r="D12" s="594">
        <v>0.3717185153076255</v>
      </c>
      <c r="E12" s="594">
        <v>0.20630016816890104</v>
      </c>
      <c r="F12" s="594">
        <v>0.5027596817738206</v>
      </c>
      <c r="G12" s="598">
        <v>0.3463705772697008</v>
      </c>
      <c r="H12" s="594">
        <v>0.16974555231469238</v>
      </c>
      <c r="I12" s="283"/>
      <c r="K12" s="595"/>
      <c r="L12" s="596"/>
    </row>
    <row r="13" spans="1:12" s="105" customFormat="1" ht="7.5" customHeight="1">
      <c r="A13" s="573" t="s">
        <v>199</v>
      </c>
      <c r="B13" s="594">
        <v>0.08103813598512902</v>
      </c>
      <c r="C13" s="594">
        <v>0.05800148702983793</v>
      </c>
      <c r="D13" s="594">
        <v>0.03711838555716568</v>
      </c>
      <c r="E13" s="594">
        <v>0.10921692908951018</v>
      </c>
      <c r="F13" s="594">
        <v>0.07885232856212103</v>
      </c>
      <c r="G13" s="598">
        <v>0.07639384481590318</v>
      </c>
      <c r="H13" s="594">
        <v>0.093754813185996</v>
      </c>
      <c r="I13" s="283"/>
      <c r="K13" s="595"/>
      <c r="L13" s="596"/>
    </row>
    <row r="14" spans="1:12" s="105" customFormat="1" ht="7.5" customHeight="1">
      <c r="A14" s="572" t="s">
        <v>200</v>
      </c>
      <c r="B14" s="594">
        <v>0.6128783494702993</v>
      </c>
      <c r="C14" s="594">
        <v>0.6670965363665244</v>
      </c>
      <c r="D14" s="594">
        <v>0.5097055104436784</v>
      </c>
      <c r="E14" s="594">
        <v>0.5585589346477514</v>
      </c>
      <c r="F14" s="594">
        <v>0.4874756197656281</v>
      </c>
      <c r="G14" s="598">
        <v>0.5871550683131779</v>
      </c>
      <c r="H14" s="594">
        <v>0.5561100023605878</v>
      </c>
      <c r="K14" s="595"/>
      <c r="L14" s="596"/>
    </row>
    <row r="15" spans="1:12" ht="7.5" customHeight="1">
      <c r="A15" s="358" t="s">
        <v>682</v>
      </c>
      <c r="B15" s="686">
        <v>0.4310622857812738</v>
      </c>
      <c r="C15" s="687" t="s">
        <v>324</v>
      </c>
      <c r="D15" s="686">
        <v>0.35230715147327973</v>
      </c>
      <c r="E15" s="687" t="s">
        <v>324</v>
      </c>
      <c r="F15" s="687" t="s">
        <v>324</v>
      </c>
      <c r="G15" s="688">
        <v>0.41233345594706855</v>
      </c>
      <c r="H15" s="686">
        <v>0.38298148486022604</v>
      </c>
      <c r="K15" s="358"/>
      <c r="L15" s="359"/>
    </row>
    <row r="16" spans="1:12" s="105" customFormat="1" ht="7.5" customHeight="1">
      <c r="A16" s="575" t="s">
        <v>636</v>
      </c>
      <c r="B16" s="689">
        <v>0.5274463208947716</v>
      </c>
      <c r="C16" s="379" t="s">
        <v>324</v>
      </c>
      <c r="D16" s="379" t="s">
        <v>324</v>
      </c>
      <c r="E16" s="379" t="s">
        <v>324</v>
      </c>
      <c r="F16" s="379" t="s">
        <v>324</v>
      </c>
      <c r="G16" s="690">
        <v>0.46807717785502034</v>
      </c>
      <c r="H16" s="689">
        <v>0.380947907088753</v>
      </c>
      <c r="I16" s="283"/>
      <c r="K16" s="595"/>
      <c r="L16" s="596"/>
    </row>
    <row r="17" spans="1:12" s="105" customFormat="1" ht="7.5" customHeight="1">
      <c r="A17" s="572" t="s">
        <v>684</v>
      </c>
      <c r="B17" s="379">
        <v>0.354</v>
      </c>
      <c r="C17" s="379" t="s">
        <v>324</v>
      </c>
      <c r="D17" s="379" t="s">
        <v>324</v>
      </c>
      <c r="E17" s="379" t="s">
        <v>324</v>
      </c>
      <c r="F17" s="379" t="s">
        <v>324</v>
      </c>
      <c r="G17" s="440">
        <v>0.326</v>
      </c>
      <c r="H17" s="379">
        <v>0.248</v>
      </c>
      <c r="I17" s="366"/>
      <c r="J17" s="118"/>
      <c r="K17" s="584"/>
      <c r="L17" s="596"/>
    </row>
    <row r="18" spans="1:12" ht="7.5" customHeight="1">
      <c r="A18" s="593" t="s">
        <v>634</v>
      </c>
      <c r="B18" s="592">
        <v>0.022089938147363434</v>
      </c>
      <c r="C18" s="592">
        <v>0.04134912440110946</v>
      </c>
      <c r="D18" s="592">
        <v>0.04167446192704776</v>
      </c>
      <c r="E18" s="592">
        <v>0.023502279427681738</v>
      </c>
      <c r="F18" s="592">
        <v>0.04933447212645315</v>
      </c>
      <c r="G18" s="597">
        <v>0.03006484850391597</v>
      </c>
      <c r="H18" s="592">
        <v>0.017197052856819873</v>
      </c>
      <c r="K18" s="358"/>
      <c r="L18" s="359"/>
    </row>
    <row r="19" spans="1:12" ht="7.5" customHeight="1" thickBot="1">
      <c r="A19" s="837"/>
      <c r="B19" s="996"/>
      <c r="C19" s="996"/>
      <c r="D19" s="996"/>
      <c r="E19" s="996"/>
      <c r="F19" s="996"/>
      <c r="G19" s="997"/>
      <c r="H19" s="996"/>
      <c r="K19" s="358"/>
      <c r="L19" s="359"/>
    </row>
    <row r="20" spans="1:12" ht="7.5" customHeight="1">
      <c r="A20" s="74" t="s">
        <v>205</v>
      </c>
      <c r="B20" s="593"/>
      <c r="C20" s="188"/>
      <c r="D20" s="188"/>
      <c r="E20" s="188"/>
      <c r="F20" s="188"/>
      <c r="G20" s="233"/>
      <c r="H20" s="188"/>
      <c r="K20" s="358"/>
      <c r="L20" s="359"/>
    </row>
    <row r="21" ht="7.5" customHeight="1">
      <c r="A21" s="74" t="s">
        <v>210</v>
      </c>
    </row>
    <row r="22" ht="7.5" customHeight="1">
      <c r="A22" s="53" t="s">
        <v>683</v>
      </c>
    </row>
  </sheetData>
  <sheetProtection/>
  <mergeCells count="2">
    <mergeCell ref="A1:H1"/>
    <mergeCell ref="A2:H2"/>
  </mergeCells>
  <printOptions/>
  <pageMargins left="0.5905511811023623" right="0.5905511811023623" top="0.7874015748031497" bottom="0.7874015748031497" header="0.31496062992125984" footer="0.31496062992125984"/>
  <pageSetup horizontalDpi="600" verticalDpi="600" orientation="landscape" paperSize="9" r:id="rId2"/>
  <drawing r:id="rId1"/>
</worksheet>
</file>

<file path=xl/worksheets/sheet53.xml><?xml version="1.0" encoding="utf-8"?>
<worksheet xmlns="http://schemas.openxmlformats.org/spreadsheetml/2006/main" xmlns:r="http://schemas.openxmlformats.org/officeDocument/2006/relationships">
  <dimension ref="A1:C27"/>
  <sheetViews>
    <sheetView zoomScalePageLayoutView="0" workbookViewId="0" topLeftCell="A1">
      <selection activeCell="A1" sqref="A1:B1"/>
    </sheetView>
  </sheetViews>
  <sheetFormatPr defaultColWidth="11.421875" defaultRowHeight="15"/>
  <cols>
    <col min="1" max="1" width="11.421875" style="245" customWidth="1"/>
    <col min="2" max="2" width="110.421875" style="245" customWidth="1"/>
    <col min="3" max="16384" width="11.421875" style="245" customWidth="1"/>
  </cols>
  <sheetData>
    <row r="1" spans="1:2" ht="15" customHeight="1">
      <c r="A1" s="1000" t="s">
        <v>103</v>
      </c>
      <c r="B1" s="1000"/>
    </row>
    <row r="2" ht="15">
      <c r="C2" s="246"/>
    </row>
    <row r="3" spans="1:3" ht="12" customHeight="1">
      <c r="A3" s="405" t="s">
        <v>627</v>
      </c>
      <c r="B3" s="406" t="s">
        <v>628</v>
      </c>
      <c r="C3" s="246"/>
    </row>
    <row r="4" spans="1:3" ht="12" customHeight="1">
      <c r="A4" s="405" t="s">
        <v>655</v>
      </c>
      <c r="B4" s="406" t="s">
        <v>656</v>
      </c>
      <c r="C4" s="246"/>
    </row>
    <row r="5" spans="1:3" ht="12" customHeight="1">
      <c r="A5" s="405" t="s">
        <v>670</v>
      </c>
      <c r="B5" s="406" t="s">
        <v>678</v>
      </c>
      <c r="C5" s="246"/>
    </row>
    <row r="6" spans="1:3" ht="12" customHeight="1">
      <c r="A6" s="405" t="s">
        <v>661</v>
      </c>
      <c r="B6" s="406" t="s">
        <v>662</v>
      </c>
      <c r="C6" s="246"/>
    </row>
    <row r="7" spans="1:3" ht="12" customHeight="1">
      <c r="A7" s="405" t="s">
        <v>938</v>
      </c>
      <c r="B7" s="406" t="s">
        <v>29</v>
      </c>
      <c r="C7" s="246"/>
    </row>
    <row r="8" spans="1:3" ht="12" customHeight="1">
      <c r="A8" s="405" t="s">
        <v>663</v>
      </c>
      <c r="B8" s="406" t="s">
        <v>664</v>
      </c>
      <c r="C8" s="246"/>
    </row>
    <row r="9" spans="1:3" ht="12" customHeight="1">
      <c r="A9" s="405" t="s">
        <v>1</v>
      </c>
      <c r="B9" s="406" t="s">
        <v>918</v>
      </c>
      <c r="C9" s="246"/>
    </row>
    <row r="10" spans="1:3" ht="12" customHeight="1">
      <c r="A10" s="405" t="s">
        <v>4</v>
      </c>
      <c r="B10" s="406" t="s">
        <v>919</v>
      </c>
      <c r="C10" s="246"/>
    </row>
    <row r="11" spans="1:3" ht="12" customHeight="1">
      <c r="A11" s="405" t="s">
        <v>653</v>
      </c>
      <c r="B11" s="406" t="s">
        <v>654</v>
      </c>
      <c r="C11" s="246"/>
    </row>
    <row r="12" spans="1:3" ht="12" customHeight="1">
      <c r="A12" s="405" t="s">
        <v>2</v>
      </c>
      <c r="B12" s="406" t="s">
        <v>375</v>
      </c>
      <c r="C12" s="246"/>
    </row>
    <row r="13" spans="1:3" ht="12" customHeight="1">
      <c r="A13" s="405" t="s">
        <v>657</v>
      </c>
      <c r="B13" s="406" t="s">
        <v>658</v>
      </c>
      <c r="C13" s="246"/>
    </row>
    <row r="14" spans="1:3" ht="12" customHeight="1">
      <c r="A14" s="405" t="s">
        <v>374</v>
      </c>
      <c r="B14" s="406" t="s">
        <v>376</v>
      </c>
      <c r="C14" s="246"/>
    </row>
    <row r="15" spans="1:3" ht="19.5" customHeight="1">
      <c r="A15" s="405" t="s">
        <v>37</v>
      </c>
      <c r="B15" s="400" t="s">
        <v>920</v>
      </c>
      <c r="C15" s="246"/>
    </row>
    <row r="16" spans="1:3" ht="12" customHeight="1">
      <c r="A16" s="405" t="s">
        <v>372</v>
      </c>
      <c r="B16" s="400" t="s">
        <v>373</v>
      </c>
      <c r="C16" s="246"/>
    </row>
    <row r="17" spans="1:3" ht="12" customHeight="1">
      <c r="A17" s="405" t="s">
        <v>939</v>
      </c>
      <c r="B17" s="406" t="s">
        <v>650</v>
      </c>
      <c r="C17" s="246"/>
    </row>
    <row r="19" ht="12" customHeight="1">
      <c r="C19" s="246"/>
    </row>
    <row r="20" ht="12" customHeight="1">
      <c r="C20" s="246"/>
    </row>
    <row r="21" ht="12" customHeight="1">
      <c r="C21" s="246"/>
    </row>
    <row r="22" ht="12" customHeight="1">
      <c r="C22" s="246"/>
    </row>
    <row r="23" ht="12" customHeight="1">
      <c r="C23" s="246"/>
    </row>
    <row r="24" ht="12" customHeight="1">
      <c r="C24" s="246"/>
    </row>
    <row r="25" ht="12" customHeight="1">
      <c r="C25" s="246"/>
    </row>
    <row r="26" ht="12" customHeight="1">
      <c r="C26" s="246"/>
    </row>
    <row r="27" ht="12" customHeight="1">
      <c r="C27" s="246"/>
    </row>
    <row r="28" s="249" customFormat="1" ht="19.5" customHeight="1"/>
    <row r="29" ht="19.5" customHeight="1"/>
    <row r="30" ht="12" customHeight="1"/>
    <row r="31" ht="12" customHeight="1"/>
    <row r="32" ht="12" customHeight="1"/>
    <row r="33" ht="12" customHeight="1"/>
    <row r="34" ht="12" customHeight="1"/>
    <row r="35" ht="12" customHeight="1"/>
  </sheetData>
  <sheetProtection/>
  <mergeCells count="1">
    <mergeCell ref="A1:B1"/>
  </mergeCells>
  <printOptions/>
  <pageMargins left="0.5905511811023622" right="0.5905511811023622" top="0.7874015748031497" bottom="0.7874015748031497" header="0.31496062992125984" footer="0.31496062992125984"/>
  <pageSetup horizontalDpi="600" verticalDpi="600" orientation="landscape" paperSize="9" r:id="rId1"/>
</worksheet>
</file>

<file path=xl/worksheets/sheet54.xml><?xml version="1.0" encoding="utf-8"?>
<worksheet xmlns="http://schemas.openxmlformats.org/spreadsheetml/2006/main" xmlns:r="http://schemas.openxmlformats.org/officeDocument/2006/relationships">
  <dimension ref="A1:C38"/>
  <sheetViews>
    <sheetView zoomScalePageLayoutView="0" workbookViewId="0" topLeftCell="A1">
      <selection activeCell="A1" sqref="A1:B1"/>
    </sheetView>
  </sheetViews>
  <sheetFormatPr defaultColWidth="11.421875" defaultRowHeight="15"/>
  <cols>
    <col min="1" max="1" width="11.421875" style="245" customWidth="1"/>
    <col min="2" max="2" width="110.421875" style="245" customWidth="1"/>
    <col min="3" max="16384" width="11.421875" style="245" customWidth="1"/>
  </cols>
  <sheetData>
    <row r="1" spans="1:2" ht="15" customHeight="1">
      <c r="A1" s="1000" t="s">
        <v>103</v>
      </c>
      <c r="B1" s="1000"/>
    </row>
    <row r="2" ht="15">
      <c r="C2" s="246"/>
    </row>
    <row r="3" spans="1:3" ht="12" customHeight="1">
      <c r="A3" s="405" t="s">
        <v>393</v>
      </c>
      <c r="B3" s="406" t="s">
        <v>647</v>
      </c>
      <c r="C3" s="246"/>
    </row>
    <row r="4" spans="1:3" ht="12" customHeight="1">
      <c r="A4" s="405" t="s">
        <v>629</v>
      </c>
      <c r="B4" s="406" t="s">
        <v>0</v>
      </c>
      <c r="C4" s="246"/>
    </row>
    <row r="5" spans="1:3" ht="12" customHeight="1">
      <c r="A5" s="405" t="s">
        <v>651</v>
      </c>
      <c r="B5" s="406" t="s">
        <v>652</v>
      </c>
      <c r="C5" s="246"/>
    </row>
    <row r="6" spans="1:3" ht="12" customHeight="1">
      <c r="A6" s="405" t="s">
        <v>115</v>
      </c>
      <c r="B6" s="406" t="s">
        <v>921</v>
      </c>
      <c r="C6" s="246"/>
    </row>
    <row r="7" spans="1:3" ht="12" customHeight="1">
      <c r="A7" s="405" t="s">
        <v>667</v>
      </c>
      <c r="B7" s="406" t="s">
        <v>922</v>
      </c>
      <c r="C7" s="246"/>
    </row>
    <row r="8" spans="1:3" ht="12" customHeight="1">
      <c r="A8" s="405" t="s">
        <v>22</v>
      </c>
      <c r="B8" s="406" t="s">
        <v>24</v>
      </c>
      <c r="C8" s="246"/>
    </row>
    <row r="9" spans="1:3" ht="12" customHeight="1">
      <c r="A9" s="405" t="s">
        <v>665</v>
      </c>
      <c r="B9" s="406" t="s">
        <v>666</v>
      </c>
      <c r="C9" s="246"/>
    </row>
    <row r="10" spans="1:3" ht="12" customHeight="1">
      <c r="A10" s="405" t="s">
        <v>648</v>
      </c>
      <c r="B10" s="406" t="s">
        <v>649</v>
      </c>
      <c r="C10" s="246"/>
    </row>
    <row r="11" spans="1:3" ht="18">
      <c r="A11" s="247" t="s">
        <v>116</v>
      </c>
      <c r="B11" s="248" t="s">
        <v>425</v>
      </c>
      <c r="C11" s="246"/>
    </row>
    <row r="12" spans="1:3" ht="18">
      <c r="A12" s="405" t="s">
        <v>117</v>
      </c>
      <c r="B12" s="400" t="s">
        <v>352</v>
      </c>
      <c r="C12" s="246"/>
    </row>
    <row r="13" spans="1:3" ht="12" customHeight="1">
      <c r="A13" s="405" t="s">
        <v>668</v>
      </c>
      <c r="B13" s="400" t="s">
        <v>669</v>
      </c>
      <c r="C13" s="246"/>
    </row>
    <row r="14" spans="1:3" ht="12" customHeight="1">
      <c r="A14" s="405" t="s">
        <v>27</v>
      </c>
      <c r="B14" s="406" t="s">
        <v>28</v>
      </c>
      <c r="C14" s="246"/>
    </row>
    <row r="15" spans="1:3" ht="12" customHeight="1">
      <c r="A15" s="405" t="s">
        <v>25</v>
      </c>
      <c r="B15" s="406" t="s">
        <v>26</v>
      </c>
      <c r="C15" s="246"/>
    </row>
    <row r="16" spans="1:3" ht="12" customHeight="1">
      <c r="A16" s="405" t="s">
        <v>3</v>
      </c>
      <c r="B16" s="406" t="s">
        <v>679</v>
      </c>
      <c r="C16" s="246"/>
    </row>
    <row r="17" spans="1:3" ht="12" customHeight="1">
      <c r="A17" s="405" t="s">
        <v>21</v>
      </c>
      <c r="B17" s="406" t="s">
        <v>23</v>
      </c>
      <c r="C17" s="246"/>
    </row>
    <row r="18" spans="1:3" ht="19.5" customHeight="1">
      <c r="A18" s="405"/>
      <c r="B18" s="400"/>
      <c r="C18" s="246"/>
    </row>
    <row r="19" spans="1:3" ht="12" customHeight="1">
      <c r="A19" s="405"/>
      <c r="B19" s="400"/>
      <c r="C19" s="246"/>
    </row>
    <row r="20" spans="1:3" ht="12" customHeight="1">
      <c r="A20" s="405"/>
      <c r="B20" s="406"/>
      <c r="C20" s="246"/>
    </row>
    <row r="21" spans="1:3" ht="12" customHeight="1">
      <c r="A21" s="405"/>
      <c r="B21" s="406"/>
      <c r="C21" s="246"/>
    </row>
    <row r="22" spans="1:3" ht="12" customHeight="1">
      <c r="A22" s="405"/>
      <c r="B22" s="406"/>
      <c r="C22" s="246"/>
    </row>
    <row r="23" spans="1:3" ht="12" customHeight="1">
      <c r="A23" s="405"/>
      <c r="B23" s="406"/>
      <c r="C23" s="246"/>
    </row>
    <row r="24" spans="1:3" ht="12" customHeight="1">
      <c r="A24" s="405"/>
      <c r="B24" s="406"/>
      <c r="C24" s="246"/>
    </row>
    <row r="25" spans="1:3" ht="12" customHeight="1">
      <c r="A25" s="405"/>
      <c r="B25" s="406"/>
      <c r="C25" s="246"/>
    </row>
    <row r="26" spans="1:3" ht="12" customHeight="1">
      <c r="A26" s="405"/>
      <c r="B26" s="406"/>
      <c r="C26" s="246"/>
    </row>
    <row r="27" spans="1:3" ht="12" customHeight="1">
      <c r="A27" s="405"/>
      <c r="B27" s="406"/>
      <c r="C27" s="246"/>
    </row>
    <row r="28" spans="1:3" ht="12" customHeight="1">
      <c r="A28" s="405"/>
      <c r="B28" s="406"/>
      <c r="C28" s="246"/>
    </row>
    <row r="29" spans="1:3" ht="12" customHeight="1">
      <c r="A29" s="405"/>
      <c r="B29" s="406"/>
      <c r="C29" s="246"/>
    </row>
    <row r="30" spans="1:3" ht="12" customHeight="1">
      <c r="A30" s="405"/>
      <c r="B30" s="406"/>
      <c r="C30" s="246"/>
    </row>
    <row r="31" spans="1:2" s="249" customFormat="1" ht="19.5" customHeight="1">
      <c r="A31" s="247"/>
      <c r="B31" s="248"/>
    </row>
    <row r="32" spans="1:2" ht="19.5" customHeight="1">
      <c r="A32" s="405"/>
      <c r="B32" s="400"/>
    </row>
    <row r="33" spans="1:2" ht="12" customHeight="1">
      <c r="A33" s="405"/>
      <c r="B33" s="406"/>
    </row>
    <row r="34" spans="1:2" ht="12" customHeight="1">
      <c r="A34" s="405"/>
      <c r="B34" s="406"/>
    </row>
    <row r="35" spans="1:2" ht="12" customHeight="1">
      <c r="A35" s="405"/>
      <c r="B35" s="406"/>
    </row>
    <row r="36" spans="1:2" ht="12" customHeight="1">
      <c r="A36" s="405"/>
      <c r="B36" s="406"/>
    </row>
    <row r="37" spans="1:2" ht="12" customHeight="1">
      <c r="A37" s="405"/>
      <c r="B37" s="406"/>
    </row>
    <row r="38" spans="1:2" ht="12" customHeight="1">
      <c r="A38" s="405"/>
      <c r="B38" s="406"/>
    </row>
  </sheetData>
  <sheetProtection/>
  <mergeCells count="1">
    <mergeCell ref="A1:B1"/>
  </mergeCells>
  <printOptions/>
  <pageMargins left="0.5905511811023622" right="0.5905511811023622" top="0.7874015748031497" bottom="0.7874015748031497" header="0.31496062992125984" footer="0.31496062992125984"/>
  <pageSetup horizontalDpi="600" verticalDpi="600" orientation="landscape" paperSize="9" r:id="rId1"/>
</worksheet>
</file>

<file path=xl/worksheets/sheet5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 customHeight="1"/>
  <cols>
    <col min="1" max="1" width="94.00390625" style="20" customWidth="1"/>
  </cols>
  <sheetData>
    <row r="1" ht="15" customHeight="1">
      <c r="A1" s="879" t="s">
        <v>59</v>
      </c>
    </row>
    <row r="3" ht="12" customHeight="1">
      <c r="A3" s="407" t="s">
        <v>274</v>
      </c>
    </row>
    <row r="4" ht="12" customHeight="1">
      <c r="A4" s="408" t="s">
        <v>465</v>
      </c>
    </row>
    <row r="5" ht="12" customHeight="1">
      <c r="A5" s="408" t="s">
        <v>307</v>
      </c>
    </row>
    <row r="6" ht="12" customHeight="1">
      <c r="A6" s="409" t="s">
        <v>466</v>
      </c>
    </row>
    <row r="8" ht="12" customHeight="1">
      <c r="A8" s="407" t="s">
        <v>283</v>
      </c>
    </row>
    <row r="9" ht="12" customHeight="1">
      <c r="A9" s="408" t="s">
        <v>467</v>
      </c>
    </row>
    <row r="10" ht="12" customHeight="1">
      <c r="A10" s="408" t="s">
        <v>353</v>
      </c>
    </row>
    <row r="11" ht="12" customHeight="1">
      <c r="A11" s="409" t="s">
        <v>468</v>
      </c>
    </row>
    <row r="13" ht="12" customHeight="1">
      <c r="A13" s="407" t="s">
        <v>291</v>
      </c>
    </row>
    <row r="14" ht="12" customHeight="1">
      <c r="A14" s="408" t="s">
        <v>470</v>
      </c>
    </row>
    <row r="15" ht="12" customHeight="1">
      <c r="A15" s="408" t="s">
        <v>354</v>
      </c>
    </row>
    <row r="16" ht="12" customHeight="1">
      <c r="A16" s="409" t="s">
        <v>469</v>
      </c>
    </row>
    <row r="18" ht="12" customHeight="1">
      <c r="A18" s="407" t="s">
        <v>292</v>
      </c>
    </row>
    <row r="19" ht="12" customHeight="1">
      <c r="A19" s="408" t="s">
        <v>471</v>
      </c>
    </row>
    <row r="20" ht="12" customHeight="1">
      <c r="A20" s="408" t="s">
        <v>355</v>
      </c>
    </row>
    <row r="21" ht="12" customHeight="1">
      <c r="A21" s="409" t="s">
        <v>472</v>
      </c>
    </row>
    <row r="23" ht="12" customHeight="1">
      <c r="A23" s="407" t="s">
        <v>293</v>
      </c>
    </row>
    <row r="24" ht="12" customHeight="1">
      <c r="A24" s="408" t="s">
        <v>473</v>
      </c>
    </row>
    <row r="25" ht="12" customHeight="1">
      <c r="A25" s="408" t="s">
        <v>356</v>
      </c>
    </row>
    <row r="26" ht="12" customHeight="1">
      <c r="A26" s="409" t="s">
        <v>474</v>
      </c>
    </row>
  </sheetData>
  <sheetProtection/>
  <printOptions/>
  <pageMargins left="0.5905511811023623" right="0.5905511811023623" top="0.7874015748031497" bottom="0.7874015748031497" header="0.31496062992125984" footer="0.31496062992125984"/>
  <pageSetup horizontalDpi="600" verticalDpi="600" orientation="landscape" paperSize="9" r:id="rId1"/>
</worksheet>
</file>

<file path=xl/worksheets/sheet56.xml><?xml version="1.0" encoding="utf-8"?>
<worksheet xmlns="http://schemas.openxmlformats.org/spreadsheetml/2006/main" xmlns:r="http://schemas.openxmlformats.org/officeDocument/2006/relationships">
  <dimension ref="A1:A19"/>
  <sheetViews>
    <sheetView workbookViewId="0" topLeftCell="A1">
      <selection activeCell="A1" sqref="A1"/>
    </sheetView>
  </sheetViews>
  <sheetFormatPr defaultColWidth="11.421875" defaultRowHeight="15"/>
  <cols>
    <col min="1" max="1" width="94.00390625" style="0" customWidth="1"/>
  </cols>
  <sheetData>
    <row r="1" ht="15">
      <c r="A1" s="766" t="s">
        <v>882</v>
      </c>
    </row>
    <row r="3" ht="15">
      <c r="A3" s="767" t="s">
        <v>883</v>
      </c>
    </row>
    <row r="4" ht="15">
      <c r="A4" s="768"/>
    </row>
    <row r="5" ht="15">
      <c r="A5" s="768"/>
    </row>
    <row r="6" ht="15">
      <c r="A6" s="771" t="s">
        <v>887</v>
      </c>
    </row>
    <row r="7" ht="15">
      <c r="A7" s="770" t="s">
        <v>888</v>
      </c>
    </row>
    <row r="8" ht="15">
      <c r="A8" s="769" t="s">
        <v>889</v>
      </c>
    </row>
    <row r="9" ht="15">
      <c r="A9" s="767"/>
    </row>
    <row r="10" ht="15">
      <c r="A10" s="767"/>
    </row>
    <row r="11" ht="15">
      <c r="A11" s="772" t="s">
        <v>890</v>
      </c>
    </row>
    <row r="12" ht="15">
      <c r="A12" s="767" t="s">
        <v>892</v>
      </c>
    </row>
    <row r="13" ht="15">
      <c r="A13" s="767" t="s">
        <v>893</v>
      </c>
    </row>
    <row r="14" ht="15">
      <c r="A14" s="769" t="s">
        <v>891</v>
      </c>
    </row>
    <row r="15" ht="15">
      <c r="A15" s="767"/>
    </row>
    <row r="16" ht="15">
      <c r="A16" s="767"/>
    </row>
    <row r="17" ht="15">
      <c r="A17" s="767" t="s">
        <v>884</v>
      </c>
    </row>
    <row r="18" ht="15">
      <c r="A18" s="767" t="s">
        <v>885</v>
      </c>
    </row>
    <row r="19" ht="15">
      <c r="A19" s="769" t="s">
        <v>886</v>
      </c>
    </row>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57.xml><?xml version="1.0" encoding="utf-8"?>
<worksheet xmlns="http://schemas.openxmlformats.org/spreadsheetml/2006/main" xmlns:r="http://schemas.openxmlformats.org/officeDocument/2006/relationships">
  <dimension ref="A1:A19"/>
  <sheetViews>
    <sheetView zoomScalePageLayoutView="0" workbookViewId="0" topLeftCell="A1">
      <selection activeCell="D5" sqref="D5"/>
    </sheetView>
  </sheetViews>
  <sheetFormatPr defaultColWidth="11.421875" defaultRowHeight="15"/>
  <cols>
    <col min="1" max="1" width="121.7109375" style="0" customWidth="1"/>
  </cols>
  <sheetData>
    <row r="1" ht="15">
      <c r="A1" s="998"/>
    </row>
    <row r="2" ht="15">
      <c r="A2" s="998"/>
    </row>
    <row r="3" ht="15">
      <c r="A3" s="998"/>
    </row>
    <row r="4" ht="21.75" customHeight="1">
      <c r="A4" s="769" t="s">
        <v>941</v>
      </c>
    </row>
    <row r="5" ht="15">
      <c r="A5" s="769" t="s">
        <v>942</v>
      </c>
    </row>
    <row r="6" ht="15">
      <c r="A6" s="767"/>
    </row>
    <row r="7" ht="15">
      <c r="A7" s="767" t="s">
        <v>943</v>
      </c>
    </row>
    <row r="8" ht="15">
      <c r="A8" s="767" t="s">
        <v>952</v>
      </c>
    </row>
    <row r="9" ht="15">
      <c r="A9" s="767"/>
    </row>
    <row r="10" ht="15">
      <c r="A10" s="767" t="s">
        <v>944</v>
      </c>
    </row>
    <row r="11" ht="15">
      <c r="A11" s="767" t="s">
        <v>945</v>
      </c>
    </row>
    <row r="12" ht="15">
      <c r="A12" s="767" t="s">
        <v>946</v>
      </c>
    </row>
    <row r="13" ht="15">
      <c r="A13" s="767" t="s">
        <v>947</v>
      </c>
    </row>
    <row r="14" ht="15">
      <c r="A14" s="767"/>
    </row>
    <row r="15" ht="15">
      <c r="A15" s="767" t="s">
        <v>948</v>
      </c>
    </row>
    <row r="16" ht="15">
      <c r="A16" s="767" t="s">
        <v>949</v>
      </c>
    </row>
    <row r="17" ht="15">
      <c r="A17" s="767"/>
    </row>
    <row r="18" ht="15">
      <c r="A18" s="767" t="s">
        <v>950</v>
      </c>
    </row>
    <row r="19" ht="15">
      <c r="A19" s="769" t="s">
        <v>951</v>
      </c>
    </row>
  </sheetData>
  <sheetProtection/>
  <printOptions/>
  <pageMargins left="0.7" right="0.7" top="0.75" bottom="0.75" header="0.3" footer="0.3"/>
  <pageSetup horizontalDpi="600" verticalDpi="600" orientation="portrait" paperSize="9" r:id="rId2"/>
  <drawing r:id="rId1"/>
</worksheet>
</file>

<file path=xl/worksheets/sheet58.xml><?xml version="1.0" encoding="utf-8"?>
<worksheet xmlns="http://schemas.openxmlformats.org/spreadsheetml/2006/main" xmlns:r="http://schemas.openxmlformats.org/officeDocument/2006/relationships">
  <dimension ref="M14:M14"/>
  <sheetViews>
    <sheetView zoomScalePageLayoutView="0" workbookViewId="0" topLeftCell="A1">
      <selection activeCell="O24" sqref="O24"/>
    </sheetView>
  </sheetViews>
  <sheetFormatPr defaultColWidth="11.421875" defaultRowHeight="15"/>
  <sheetData>
    <row r="14" ht="18.75">
      <c r="M14" s="423"/>
    </row>
  </sheetData>
  <sheetProtection/>
  <printOptions/>
  <pageMargins left="0.5905511811023622" right="0.5905511811023622" top="0.7874015748031497" bottom="0.7874015748031497" header="0.31496062992125984" footer="0.3149606299212598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L38"/>
  <sheetViews>
    <sheetView zoomScale="140" zoomScaleNormal="140" zoomScalePageLayoutView="0" workbookViewId="0" topLeftCell="A1">
      <selection activeCell="I21" sqref="I21"/>
    </sheetView>
  </sheetViews>
  <sheetFormatPr defaultColWidth="11.421875" defaultRowHeight="9.75" customHeight="1"/>
  <cols>
    <col min="1" max="1" width="24.57421875" style="20" customWidth="1"/>
    <col min="2" max="6" width="6.7109375" style="20" customWidth="1"/>
    <col min="7" max="7" width="7.57421875" style="20" customWidth="1"/>
    <col min="8" max="8" width="8.7109375" style="20" customWidth="1"/>
    <col min="9" max="9" width="11.421875" style="279" customWidth="1"/>
    <col min="10" max="10" width="16.28125" style="279" customWidth="1"/>
    <col min="11" max="11" width="11.421875" style="279" customWidth="1"/>
    <col min="12" max="16384" width="11.421875" style="20" customWidth="1"/>
  </cols>
  <sheetData>
    <row r="1" spans="1:11" ht="15" customHeight="1">
      <c r="A1" s="1000" t="s">
        <v>214</v>
      </c>
      <c r="B1" s="1000"/>
      <c r="C1" s="1000"/>
      <c r="D1" s="1000"/>
      <c r="E1" s="1000"/>
      <c r="F1" s="1000"/>
      <c r="G1" s="1000"/>
      <c r="H1" s="1000"/>
      <c r="J1" s="315"/>
      <c r="K1" s="315"/>
    </row>
    <row r="2" spans="1:12" ht="9.75" customHeight="1">
      <c r="A2" s="127"/>
      <c r="B2" s="44"/>
      <c r="C2" s="44"/>
      <c r="D2" s="44"/>
      <c r="E2" s="44"/>
      <c r="F2" s="44"/>
      <c r="G2" s="44"/>
      <c r="H2" s="44"/>
      <c r="I2" s="369"/>
      <c r="J2" s="315"/>
      <c r="K2" s="315"/>
      <c r="L2" s="185"/>
    </row>
    <row r="3" spans="1:11" ht="19.5" customHeight="1">
      <c r="A3" s="44"/>
      <c r="B3" s="26" t="s">
        <v>530</v>
      </c>
      <c r="C3" s="26" t="s">
        <v>531</v>
      </c>
      <c r="D3" s="78" t="s">
        <v>523</v>
      </c>
      <c r="E3" s="78" t="s">
        <v>524</v>
      </c>
      <c r="F3" s="78" t="s">
        <v>525</v>
      </c>
      <c r="G3" s="27" t="s">
        <v>532</v>
      </c>
      <c r="H3" s="26" t="s">
        <v>527</v>
      </c>
      <c r="I3" s="369"/>
      <c r="J3" s="315"/>
      <c r="K3" s="315"/>
    </row>
    <row r="4" spans="1:9" ht="7.5" customHeight="1">
      <c r="A4" s="44"/>
      <c r="B4" s="28"/>
      <c r="C4" s="28"/>
      <c r="D4" s="28"/>
      <c r="E4" s="28"/>
      <c r="F4" s="28"/>
      <c r="G4" s="273"/>
      <c r="H4" s="28"/>
      <c r="I4" s="369"/>
    </row>
    <row r="5" spans="1:8" ht="7.5" customHeight="1">
      <c r="A5" s="44" t="s">
        <v>533</v>
      </c>
      <c r="B5" s="29">
        <v>6815</v>
      </c>
      <c r="C5" s="29">
        <v>7166</v>
      </c>
      <c r="D5" s="29">
        <v>5175</v>
      </c>
      <c r="E5" s="29">
        <v>6206</v>
      </c>
      <c r="F5" s="29">
        <v>6720</v>
      </c>
      <c r="G5" s="30">
        <f>SUM(B5:F5)</f>
        <v>32082</v>
      </c>
      <c r="H5" s="29">
        <v>543963</v>
      </c>
    </row>
    <row r="6" spans="1:8" ht="7.5" customHeight="1">
      <c r="A6" s="44" t="s">
        <v>520</v>
      </c>
      <c r="B6" s="29">
        <v>221</v>
      </c>
      <c r="C6" s="29">
        <v>357</v>
      </c>
      <c r="D6" s="29">
        <v>261</v>
      </c>
      <c r="E6" s="29">
        <v>375</v>
      </c>
      <c r="F6" s="29">
        <v>282</v>
      </c>
      <c r="G6" s="30">
        <f>SUM(B6:F6)</f>
        <v>1496</v>
      </c>
      <c r="H6" s="29">
        <v>36552</v>
      </c>
    </row>
    <row r="7" spans="1:8" ht="7.5" customHeight="1">
      <c r="A7" s="44"/>
      <c r="B7" s="29"/>
      <c r="C7" s="29"/>
      <c r="D7" s="29"/>
      <c r="E7" s="29"/>
      <c r="F7" s="29"/>
      <c r="G7" s="30"/>
      <c r="H7" s="29"/>
    </row>
    <row r="8" spans="1:8" ht="7.5" customHeight="1">
      <c r="A8" s="270" t="s">
        <v>588</v>
      </c>
      <c r="B8" s="32"/>
      <c r="C8" s="32"/>
      <c r="D8" s="32"/>
      <c r="E8" s="32"/>
      <c r="F8" s="32"/>
      <c r="G8" s="33"/>
      <c r="H8" s="32"/>
    </row>
    <row r="9" spans="1:8" ht="7.5" customHeight="1">
      <c r="A9" s="44" t="s">
        <v>701</v>
      </c>
      <c r="B9" s="444">
        <v>1282052</v>
      </c>
      <c r="C9" s="444">
        <v>784810</v>
      </c>
      <c r="D9" s="444">
        <v>306337</v>
      </c>
      <c r="E9" s="444">
        <v>563518</v>
      </c>
      <c r="F9" s="444">
        <v>634778</v>
      </c>
      <c r="G9" s="30">
        <f>SUM(B9:F9)</f>
        <v>3571495</v>
      </c>
      <c r="H9" s="445">
        <v>62765235</v>
      </c>
    </row>
    <row r="10" spans="1:11" ht="7.5" customHeight="1">
      <c r="A10" s="795" t="s">
        <v>702</v>
      </c>
      <c r="B10" s="796">
        <v>1303103</v>
      </c>
      <c r="C10" s="796">
        <v>797697</v>
      </c>
      <c r="D10" s="796">
        <v>311367</v>
      </c>
      <c r="E10" s="796">
        <v>572771</v>
      </c>
      <c r="F10" s="796">
        <v>645201</v>
      </c>
      <c r="G10" s="797">
        <f>SUM(B10:F10)</f>
        <v>3630139</v>
      </c>
      <c r="H10" s="798">
        <v>63409191</v>
      </c>
      <c r="K10" s="314"/>
    </row>
    <row r="11" spans="1:8" ht="7.5" customHeight="1">
      <c r="A11" s="274" t="s">
        <v>703</v>
      </c>
      <c r="B11" s="37">
        <f>B10/B5</f>
        <v>191.21100513573</v>
      </c>
      <c r="C11" s="37">
        <f aca="true" t="shared" si="0" ref="C11:H11">C10/C5</f>
        <v>111.31691320122802</v>
      </c>
      <c r="D11" s="37">
        <f t="shared" si="0"/>
        <v>60.16753623188406</v>
      </c>
      <c r="E11" s="37">
        <f t="shared" si="0"/>
        <v>92.29310344827586</v>
      </c>
      <c r="F11" s="37">
        <f t="shared" si="0"/>
        <v>96.01205357142857</v>
      </c>
      <c r="G11" s="464">
        <f t="shared" si="0"/>
        <v>113.15189202668162</v>
      </c>
      <c r="H11" s="695">
        <f t="shared" si="0"/>
        <v>116.56894126990255</v>
      </c>
    </row>
    <row r="12" spans="1:11" ht="7.5" customHeight="1">
      <c r="A12" s="274"/>
      <c r="B12" s="34"/>
      <c r="C12" s="34"/>
      <c r="D12" s="34"/>
      <c r="E12" s="34"/>
      <c r="F12" s="34"/>
      <c r="G12" s="35"/>
      <c r="H12" s="36"/>
      <c r="K12" s="314"/>
    </row>
    <row r="13" spans="1:8" ht="7.5" customHeight="1">
      <c r="A13" s="270" t="s">
        <v>589</v>
      </c>
      <c r="B13" s="39"/>
      <c r="C13" s="39"/>
      <c r="D13" s="39"/>
      <c r="E13" s="39"/>
      <c r="F13" s="39"/>
      <c r="G13" s="33"/>
      <c r="H13" s="462"/>
    </row>
    <row r="14" spans="1:8" ht="7.5" customHeight="1">
      <c r="A14" s="799" t="s">
        <v>704</v>
      </c>
      <c r="B14" s="800">
        <v>16747</v>
      </c>
      <c r="C14" s="800">
        <v>10320</v>
      </c>
      <c r="D14" s="800">
        <v>3733</v>
      </c>
      <c r="E14" s="800">
        <v>6810</v>
      </c>
      <c r="F14" s="800">
        <v>7442</v>
      </c>
      <c r="G14" s="801">
        <f>SUM(B14:F14)</f>
        <v>45052</v>
      </c>
      <c r="H14" s="802">
        <v>791347</v>
      </c>
    </row>
    <row r="15" spans="1:8" ht="7.5" customHeight="1">
      <c r="A15" s="275"/>
      <c r="B15" s="40"/>
      <c r="C15" s="40"/>
      <c r="D15" s="40"/>
      <c r="E15" s="40"/>
      <c r="F15" s="40"/>
      <c r="G15" s="41"/>
      <c r="H15" s="42"/>
    </row>
    <row r="16" spans="1:8" ht="7.5" customHeight="1">
      <c r="A16" s="270" t="s">
        <v>590</v>
      </c>
      <c r="B16" s="39"/>
      <c r="C16" s="39"/>
      <c r="D16" s="39"/>
      <c r="E16" s="39"/>
      <c r="F16" s="39"/>
      <c r="G16" s="466"/>
      <c r="H16" s="463"/>
    </row>
    <row r="17" spans="1:8" ht="7.5" customHeight="1">
      <c r="A17" s="799" t="s">
        <v>704</v>
      </c>
      <c r="B17" s="800">
        <v>9888</v>
      </c>
      <c r="C17" s="800">
        <v>6227</v>
      </c>
      <c r="D17" s="800">
        <v>2734</v>
      </c>
      <c r="E17" s="800">
        <v>5187</v>
      </c>
      <c r="F17" s="800">
        <v>5823</v>
      </c>
      <c r="G17" s="801">
        <f>SUM(B17:F17)</f>
        <v>29859</v>
      </c>
      <c r="H17" s="798">
        <v>533038</v>
      </c>
    </row>
    <row r="18" spans="1:8" ht="7.5" customHeight="1">
      <c r="A18" s="22"/>
      <c r="B18" s="108"/>
      <c r="C18" s="108"/>
      <c r="D18" s="108"/>
      <c r="E18" s="108"/>
      <c r="F18" s="108"/>
      <c r="G18" s="30"/>
      <c r="H18" s="95"/>
    </row>
    <row r="19" spans="1:10" ht="7.5" customHeight="1">
      <c r="A19" s="22" t="s">
        <v>112</v>
      </c>
      <c r="B19" s="448">
        <v>78.159201134</v>
      </c>
      <c r="C19" s="448">
        <v>-7.53580673</v>
      </c>
      <c r="D19" s="448">
        <v>-75.44487089</v>
      </c>
      <c r="E19" s="448">
        <v>-22.451986</v>
      </c>
      <c r="F19" s="448">
        <v>72.765706817</v>
      </c>
      <c r="G19" s="461">
        <v>29.375760494</v>
      </c>
      <c r="H19" s="449" t="s">
        <v>324</v>
      </c>
      <c r="I19" s="281"/>
      <c r="J19" s="281"/>
    </row>
    <row r="20" spans="1:8" ht="7.5" customHeight="1">
      <c r="A20" s="22" t="s">
        <v>276</v>
      </c>
      <c r="B20" s="108">
        <v>1631000</v>
      </c>
      <c r="C20" s="108">
        <v>939000</v>
      </c>
      <c r="D20" s="108">
        <v>340000</v>
      </c>
      <c r="E20" s="108">
        <v>637000</v>
      </c>
      <c r="F20" s="108">
        <v>844000</v>
      </c>
      <c r="G20" s="30">
        <f>SUM(B20:F20)</f>
        <v>4391000</v>
      </c>
      <c r="H20" s="95">
        <v>70738000</v>
      </c>
    </row>
    <row r="21" spans="1:8" ht="7.5" customHeight="1">
      <c r="A21" s="22" t="s">
        <v>788</v>
      </c>
      <c r="B21" s="737">
        <v>0.114</v>
      </c>
      <c r="C21" s="737">
        <v>0.102</v>
      </c>
      <c r="D21" s="737">
        <v>0.082</v>
      </c>
      <c r="E21" s="737">
        <v>0.106</v>
      </c>
      <c r="F21" s="737">
        <v>0.082</v>
      </c>
      <c r="G21" s="744">
        <v>0.101</v>
      </c>
      <c r="H21" s="328">
        <v>0.144</v>
      </c>
    </row>
    <row r="22" spans="1:8" ht="7.5" customHeight="1">
      <c r="A22" s="22"/>
      <c r="B22" s="108"/>
      <c r="C22" s="108"/>
      <c r="D22" s="108"/>
      <c r="E22" s="108"/>
      <c r="F22" s="108"/>
      <c r="G22" s="30"/>
      <c r="H22" s="95"/>
    </row>
    <row r="23" spans="1:9" ht="7.5" customHeight="1">
      <c r="A23" s="803" t="s">
        <v>705</v>
      </c>
      <c r="B23" s="804">
        <v>608626.375933</v>
      </c>
      <c r="C23" s="804">
        <v>366448.171176</v>
      </c>
      <c r="D23" s="804">
        <v>141094.192353</v>
      </c>
      <c r="E23" s="804">
        <v>258513.657851</v>
      </c>
      <c r="F23" s="804">
        <v>289259.374977</v>
      </c>
      <c r="G23" s="805">
        <f>SUM(B23:F23)</f>
        <v>1663941.77229</v>
      </c>
      <c r="H23" s="806">
        <v>29302807</v>
      </c>
      <c r="I23" s="281"/>
    </row>
    <row r="24" spans="1:11" s="133" customFormat="1" ht="7.5" customHeight="1">
      <c r="A24" s="275" t="s">
        <v>113</v>
      </c>
      <c r="B24" s="741">
        <v>0.73</v>
      </c>
      <c r="C24" s="741">
        <v>0.734</v>
      </c>
      <c r="D24" s="741">
        <v>0.749</v>
      </c>
      <c r="E24" s="741">
        <v>0.732</v>
      </c>
      <c r="F24" s="741">
        <v>0.737</v>
      </c>
      <c r="G24" s="742">
        <v>0.733933918453223</v>
      </c>
      <c r="H24" s="743">
        <v>0.721881550097324</v>
      </c>
      <c r="I24" s="281"/>
      <c r="J24" s="281"/>
      <c r="K24" s="281"/>
    </row>
    <row r="25" spans="1:9" ht="7.5" customHeight="1" thickBot="1">
      <c r="A25" s="807"/>
      <c r="B25" s="808"/>
      <c r="C25" s="808"/>
      <c r="D25" s="808"/>
      <c r="E25" s="808"/>
      <c r="F25" s="808"/>
      <c r="G25" s="809"/>
      <c r="H25" s="808"/>
      <c r="I25" s="369"/>
    </row>
    <row r="26" spans="1:8" ht="9.75" customHeight="1">
      <c r="A26" s="53" t="s">
        <v>395</v>
      </c>
      <c r="B26" s="44"/>
      <c r="C26" s="44"/>
      <c r="D26" s="44"/>
      <c r="E26" s="44"/>
      <c r="F26" s="44"/>
      <c r="G26" s="44"/>
      <c r="H26" s="44"/>
    </row>
    <row r="27" spans="1:8" ht="9.75" customHeight="1">
      <c r="A27" s="160" t="s">
        <v>275</v>
      </c>
      <c r="B27" s="44"/>
      <c r="C27" s="44"/>
      <c r="D27" s="44"/>
      <c r="E27" s="44"/>
      <c r="F27" s="44"/>
      <c r="G27" s="44"/>
      <c r="H27" s="44"/>
    </row>
    <row r="28" spans="1:8" ht="9.75" customHeight="1">
      <c r="A28" s="160" t="s">
        <v>659</v>
      </c>
      <c r="B28" s="44"/>
      <c r="C28" s="44"/>
      <c r="D28" s="44"/>
      <c r="E28" s="44"/>
      <c r="F28" s="44"/>
      <c r="G28" s="44"/>
      <c r="H28" s="44"/>
    </row>
    <row r="29" spans="1:8" ht="9.75" customHeight="1">
      <c r="A29" s="147" t="s">
        <v>437</v>
      </c>
      <c r="B29" s="45"/>
      <c r="C29" s="45"/>
      <c r="D29" s="45"/>
      <c r="E29" s="45"/>
      <c r="F29" s="45"/>
      <c r="G29" s="45"/>
      <c r="H29" s="128"/>
    </row>
    <row r="30" spans="1:8" ht="9.75" customHeight="1">
      <c r="A30" s="147" t="s">
        <v>660</v>
      </c>
      <c r="B30" s="44"/>
      <c r="C30" s="44"/>
      <c r="D30" s="44"/>
      <c r="E30" s="44"/>
      <c r="F30" s="44"/>
      <c r="G30" s="44"/>
      <c r="H30" s="44"/>
    </row>
    <row r="34" spans="2:8" ht="9.75" customHeight="1">
      <c r="B34" s="446"/>
      <c r="C34" s="446"/>
      <c r="D34" s="446"/>
      <c r="E34" s="446"/>
      <c r="F34" s="446"/>
      <c r="G34" s="465"/>
      <c r="H34" s="447"/>
    </row>
    <row r="38" spans="2:6" ht="9.75" customHeight="1">
      <c r="B38" s="348"/>
      <c r="C38" s="348"/>
      <c r="D38" s="348"/>
      <c r="E38" s="348"/>
      <c r="F38" s="348"/>
    </row>
  </sheetData>
  <sheetProtection/>
  <mergeCells count="1">
    <mergeCell ref="A1:H1"/>
  </mergeCells>
  <printOptions/>
  <pageMargins left="0.5905511811023623" right="0.5905511811023623" top="0.7874015748031497" bottom="0.787401574803149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29"/>
  <sheetViews>
    <sheetView zoomScale="140" zoomScaleNormal="140" zoomScalePageLayoutView="0" workbookViewId="0" topLeftCell="A1">
      <selection activeCell="A1" sqref="A1:H1"/>
    </sheetView>
  </sheetViews>
  <sheetFormatPr defaultColWidth="11.421875" defaultRowHeight="9.75" customHeight="1"/>
  <cols>
    <col min="1" max="1" width="29.57421875" style="20" customWidth="1"/>
    <col min="2" max="6" width="6.7109375" style="20" customWidth="1"/>
    <col min="7" max="7" width="6.8515625" style="20" customWidth="1"/>
    <col min="8" max="8" width="10.28125" style="20" customWidth="1"/>
    <col min="9" max="9" width="13.00390625" style="279" customWidth="1"/>
    <col min="10" max="10" width="16.28125" style="279" customWidth="1"/>
    <col min="11" max="11" width="11.421875" style="279" customWidth="1"/>
    <col min="12" max="16384" width="11.421875" style="20" customWidth="1"/>
  </cols>
  <sheetData>
    <row r="1" spans="1:8" ht="15" customHeight="1">
      <c r="A1" s="1001" t="s">
        <v>160</v>
      </c>
      <c r="B1" s="1001"/>
      <c r="C1" s="1001"/>
      <c r="D1" s="1001"/>
      <c r="E1" s="1001"/>
      <c r="F1" s="1001"/>
      <c r="G1" s="1001"/>
      <c r="H1" s="1001"/>
    </row>
    <row r="2" spans="1:8" ht="9.75" customHeight="1">
      <c r="A2" s="46"/>
      <c r="B2" s="47"/>
      <c r="C2" s="47"/>
      <c r="D2" s="47"/>
      <c r="E2" s="47"/>
      <c r="F2" s="47"/>
      <c r="G2" s="47"/>
      <c r="H2" s="48"/>
    </row>
    <row r="3" spans="1:8" ht="19.5" customHeight="1">
      <c r="A3" s="53"/>
      <c r="B3" s="49" t="s">
        <v>521</v>
      </c>
      <c r="C3" s="49" t="s">
        <v>534</v>
      </c>
      <c r="D3" s="49" t="s">
        <v>523</v>
      </c>
      <c r="E3" s="49" t="s">
        <v>524</v>
      </c>
      <c r="F3" s="49" t="s">
        <v>525</v>
      </c>
      <c r="G3" s="50" t="s">
        <v>532</v>
      </c>
      <c r="H3" s="26" t="s">
        <v>527</v>
      </c>
    </row>
    <row r="4" spans="1:8" ht="7.5" customHeight="1">
      <c r="A4" s="53"/>
      <c r="B4" s="49"/>
      <c r="C4" s="49"/>
      <c r="D4" s="49"/>
      <c r="E4" s="49"/>
      <c r="F4" s="49"/>
      <c r="G4" s="50"/>
      <c r="H4" s="50"/>
    </row>
    <row r="5" spans="1:8" ht="7.5" customHeight="1">
      <c r="A5" s="51" t="s">
        <v>536</v>
      </c>
      <c r="B5" s="52"/>
      <c r="C5" s="52"/>
      <c r="D5" s="52"/>
      <c r="E5" s="52"/>
      <c r="F5" s="52"/>
      <c r="G5" s="458"/>
      <c r="H5" s="458" t="s">
        <v>537</v>
      </c>
    </row>
    <row r="6" spans="1:9" ht="7.5" customHeight="1">
      <c r="A6" s="53" t="s">
        <v>706</v>
      </c>
      <c r="B6" s="450">
        <v>12.9</v>
      </c>
      <c r="C6" s="450">
        <v>12.9</v>
      </c>
      <c r="D6" s="450">
        <v>12</v>
      </c>
      <c r="E6" s="450">
        <v>11.9</v>
      </c>
      <c r="F6" s="450">
        <v>11.5</v>
      </c>
      <c r="G6" s="459">
        <v>12.4</v>
      </c>
      <c r="H6" s="696">
        <v>12.5</v>
      </c>
      <c r="I6" s="281"/>
    </row>
    <row r="7" spans="1:9" ht="7.5" customHeight="1">
      <c r="A7" s="53" t="s">
        <v>707</v>
      </c>
      <c r="B7" s="452">
        <v>7.6</v>
      </c>
      <c r="C7" s="452">
        <v>7.8</v>
      </c>
      <c r="D7" s="452">
        <v>8.8</v>
      </c>
      <c r="E7" s="452">
        <v>9.1</v>
      </c>
      <c r="F7" s="452">
        <v>9.1</v>
      </c>
      <c r="G7" s="460">
        <v>8.3</v>
      </c>
      <c r="H7" s="696">
        <v>8.4</v>
      </c>
      <c r="I7" s="281"/>
    </row>
    <row r="8" spans="1:9" ht="7.5" customHeight="1">
      <c r="A8" s="56" t="s">
        <v>708</v>
      </c>
      <c r="B8" s="453">
        <v>2.9</v>
      </c>
      <c r="C8" s="453">
        <v>2.4</v>
      </c>
      <c r="D8" s="453">
        <v>3.2</v>
      </c>
      <c r="E8" s="453">
        <v>2.8</v>
      </c>
      <c r="F8" s="453">
        <v>3.2</v>
      </c>
      <c r="G8" s="461">
        <v>2.8</v>
      </c>
      <c r="H8" s="697">
        <v>3.4</v>
      </c>
      <c r="I8" s="281"/>
    </row>
    <row r="9" spans="1:10" ht="7.5" customHeight="1">
      <c r="A9" s="58" t="s">
        <v>710</v>
      </c>
      <c r="B9" s="59">
        <f>'page 5 Démo'!B14/'page 7 Démo'!B26*1000</f>
        <v>56.42292090616283</v>
      </c>
      <c r="C9" s="59">
        <f>'page 5 Démo'!C14/'page 7 Démo'!C26*1000</f>
        <v>58.217593898435126</v>
      </c>
      <c r="D9" s="59">
        <f>'page 5 Démo'!D14/'page 7 Démo'!D26*1000</f>
        <v>58.69404569110549</v>
      </c>
      <c r="E9" s="59">
        <f>'page 5 Démo'!E14/'page 7 Démo'!E26*1000</f>
        <v>56.267041229447244</v>
      </c>
      <c r="F9" s="59">
        <f>'page 5 Démo'!F14/'page 7 Démo'!F26*1000</f>
        <v>57.58412838428623</v>
      </c>
      <c r="G9" s="699">
        <f>'page 5 Démo'!G14/'page 7 Démo'!G26*1000</f>
        <v>57.17650701951656</v>
      </c>
      <c r="H9" s="59">
        <f>'page 5 Démo'!H14/'page 7 Démo'!H26*1000</f>
        <v>55.50150836888209</v>
      </c>
      <c r="I9" s="281"/>
      <c r="J9" s="700"/>
    </row>
    <row r="10" spans="1:9" ht="7.5" customHeight="1">
      <c r="A10" s="810" t="s">
        <v>712</v>
      </c>
      <c r="B10" s="811">
        <v>2.03</v>
      </c>
      <c r="C10" s="811">
        <v>2.12</v>
      </c>
      <c r="D10" s="811">
        <v>2.19</v>
      </c>
      <c r="E10" s="811">
        <v>2.12</v>
      </c>
      <c r="F10" s="811">
        <v>2.15</v>
      </c>
      <c r="G10" s="811">
        <v>2.09</v>
      </c>
      <c r="H10" s="812">
        <v>1.99</v>
      </c>
      <c r="I10" s="281"/>
    </row>
    <row r="11" spans="1:9" ht="7.5" customHeight="1">
      <c r="A11" s="60"/>
      <c r="B11" s="47"/>
      <c r="C11" s="47"/>
      <c r="D11" s="47"/>
      <c r="E11" s="47"/>
      <c r="F11" s="47"/>
      <c r="G11" s="55"/>
      <c r="H11" s="48"/>
      <c r="I11" s="281"/>
    </row>
    <row r="12" spans="1:9" ht="7.5" customHeight="1">
      <c r="A12" s="51" t="s">
        <v>713</v>
      </c>
      <c r="B12" s="52"/>
      <c r="C12" s="52"/>
      <c r="D12" s="52"/>
      <c r="E12" s="52"/>
      <c r="F12" s="52"/>
      <c r="G12" s="458"/>
      <c r="H12" s="458" t="s">
        <v>928</v>
      </c>
      <c r="I12" s="281"/>
    </row>
    <row r="13" spans="1:9" ht="7.5" customHeight="1">
      <c r="A13" s="53" t="s">
        <v>552</v>
      </c>
      <c r="B13" s="538">
        <v>78.11</v>
      </c>
      <c r="C13" s="538">
        <v>79.8588</v>
      </c>
      <c r="D13" s="538">
        <v>79.5881</v>
      </c>
      <c r="E13" s="538">
        <v>78.4679</v>
      </c>
      <c r="F13" s="538">
        <v>78.661</v>
      </c>
      <c r="G13" s="698">
        <v>78.8135</v>
      </c>
      <c r="H13" s="538">
        <v>78.5</v>
      </c>
      <c r="I13" s="281"/>
    </row>
    <row r="14" spans="1:9" ht="7.5" customHeight="1">
      <c r="A14" s="53" t="s">
        <v>553</v>
      </c>
      <c r="B14" s="538">
        <v>85.5985</v>
      </c>
      <c r="C14" s="538">
        <v>85.7693</v>
      </c>
      <c r="D14" s="538">
        <v>85.0488</v>
      </c>
      <c r="E14" s="538">
        <v>85.2081</v>
      </c>
      <c r="F14" s="538">
        <v>85.4433</v>
      </c>
      <c r="G14" s="698">
        <v>85.5146</v>
      </c>
      <c r="H14" s="538">
        <v>84.9</v>
      </c>
      <c r="I14" s="281"/>
    </row>
    <row r="15" spans="1:9" ht="7.5" customHeight="1">
      <c r="A15" s="53" t="s">
        <v>591</v>
      </c>
      <c r="B15" s="538">
        <v>22.5504</v>
      </c>
      <c r="C15" s="538">
        <v>23.5013</v>
      </c>
      <c r="D15" s="538">
        <v>23.622</v>
      </c>
      <c r="E15" s="538">
        <v>22.7977</v>
      </c>
      <c r="F15" s="538">
        <v>23.0587</v>
      </c>
      <c r="G15" s="698">
        <v>23.018</v>
      </c>
      <c r="H15" s="538">
        <v>22.7</v>
      </c>
      <c r="I15" s="281"/>
    </row>
    <row r="16" spans="1:9" ht="7.5" customHeight="1">
      <c r="A16" s="53" t="s">
        <v>592</v>
      </c>
      <c r="B16" s="538">
        <v>27.6673</v>
      </c>
      <c r="C16" s="538">
        <v>27.8278</v>
      </c>
      <c r="D16" s="538">
        <v>27.7046</v>
      </c>
      <c r="E16" s="538">
        <v>27.6448</v>
      </c>
      <c r="F16" s="538">
        <v>27.781</v>
      </c>
      <c r="G16" s="698">
        <v>27.7311</v>
      </c>
      <c r="H16" s="538">
        <v>27.2</v>
      </c>
      <c r="I16" s="281"/>
    </row>
    <row r="17" spans="1:9" ht="7.5" customHeight="1">
      <c r="A17" s="813" t="s">
        <v>711</v>
      </c>
      <c r="B17" s="814">
        <v>61.5</v>
      </c>
      <c r="C17" s="814">
        <v>64.6</v>
      </c>
      <c r="D17" s="814">
        <v>71.9</v>
      </c>
      <c r="E17" s="814">
        <v>74.3</v>
      </c>
      <c r="F17" s="814">
        <v>83.8</v>
      </c>
      <c r="G17" s="814">
        <v>68.8</v>
      </c>
      <c r="H17" s="815">
        <v>70.7</v>
      </c>
      <c r="I17" s="281"/>
    </row>
    <row r="18" spans="1:9" ht="7.5" customHeight="1">
      <c r="A18" s="60"/>
      <c r="B18" s="47"/>
      <c r="C18" s="47"/>
      <c r="D18" s="47"/>
      <c r="E18" s="47"/>
      <c r="F18" s="47"/>
      <c r="G18" s="48"/>
      <c r="H18" s="48"/>
      <c r="I18" s="281"/>
    </row>
    <row r="19" spans="1:9" ht="7.5" customHeight="1">
      <c r="A19" s="51" t="s">
        <v>895</v>
      </c>
      <c r="B19" s="61"/>
      <c r="C19" s="61"/>
      <c r="D19" s="61"/>
      <c r="E19" s="61"/>
      <c r="F19" s="61"/>
      <c r="G19" s="62"/>
      <c r="H19" s="781" t="s">
        <v>929</v>
      </c>
      <c r="I19" s="281"/>
    </row>
    <row r="20" spans="1:9" ht="7.5" customHeight="1">
      <c r="A20" s="63" t="s">
        <v>593</v>
      </c>
      <c r="B20" s="115">
        <f>B22-B21</f>
        <v>0.5</v>
      </c>
      <c r="C20" s="115">
        <f>C22-C21</f>
        <v>0.5</v>
      </c>
      <c r="D20" s="115">
        <f>D22-D21</f>
        <v>0.4</v>
      </c>
      <c r="E20" s="115">
        <v>0.3</v>
      </c>
      <c r="F20" s="115">
        <f>F22-F21</f>
        <v>0.2999999999999998</v>
      </c>
      <c r="G20" s="115">
        <f>G22-G21</f>
        <v>0.4</v>
      </c>
      <c r="H20" s="115">
        <v>0.4</v>
      </c>
      <c r="I20" s="281"/>
    </row>
    <row r="21" spans="1:9" ht="7.5" customHeight="1">
      <c r="A21" s="63" t="s">
        <v>594</v>
      </c>
      <c r="B21" s="115">
        <v>0.5</v>
      </c>
      <c r="C21" s="115">
        <v>0.1</v>
      </c>
      <c r="D21" s="115">
        <v>0.1</v>
      </c>
      <c r="E21" s="115">
        <v>0.1</v>
      </c>
      <c r="F21" s="115">
        <v>1.1</v>
      </c>
      <c r="G21" s="115">
        <v>0.4</v>
      </c>
      <c r="H21" s="115">
        <v>0.1</v>
      </c>
      <c r="I21" s="281"/>
    </row>
    <row r="22" spans="1:9" ht="7.5" customHeight="1">
      <c r="A22" s="816" t="s">
        <v>528</v>
      </c>
      <c r="B22" s="817">
        <v>1</v>
      </c>
      <c r="C22" s="817">
        <v>0.6</v>
      </c>
      <c r="D22" s="817">
        <v>0.5</v>
      </c>
      <c r="E22" s="817">
        <v>0.4</v>
      </c>
      <c r="F22" s="817">
        <v>1.4</v>
      </c>
      <c r="G22" s="817">
        <v>0.8</v>
      </c>
      <c r="H22" s="817">
        <v>0.5</v>
      </c>
      <c r="I22" s="281"/>
    </row>
    <row r="23" spans="1:8" ht="7.5" customHeight="1" thickBot="1">
      <c r="A23" s="818"/>
      <c r="B23" s="819"/>
      <c r="C23" s="819"/>
      <c r="D23" s="819"/>
      <c r="E23" s="819"/>
      <c r="F23" s="819"/>
      <c r="G23" s="819"/>
      <c r="H23" s="820"/>
    </row>
    <row r="24" spans="1:11" s="136" customFormat="1" ht="7.5" customHeight="1">
      <c r="A24" s="56" t="s">
        <v>395</v>
      </c>
      <c r="B24" s="54"/>
      <c r="C24" s="64"/>
      <c r="D24" s="55"/>
      <c r="E24" s="55"/>
      <c r="F24" s="54"/>
      <c r="G24" s="55"/>
      <c r="H24" s="55"/>
      <c r="I24" s="280"/>
      <c r="J24" s="280"/>
      <c r="K24" s="280"/>
    </row>
    <row r="25" spans="1:8" ht="7.5" customHeight="1">
      <c r="A25" s="53" t="s">
        <v>709</v>
      </c>
      <c r="B25" s="55"/>
      <c r="C25" s="64"/>
      <c r="D25" s="55"/>
      <c r="E25" s="55"/>
      <c r="F25" s="54"/>
      <c r="G25" s="55"/>
      <c r="H25" s="55"/>
    </row>
    <row r="26" spans="1:8" ht="7.5" customHeight="1">
      <c r="A26" s="53" t="s">
        <v>687</v>
      </c>
      <c r="B26" s="55"/>
      <c r="C26" s="64"/>
      <c r="D26" s="55"/>
      <c r="E26" s="55"/>
      <c r="F26" s="54"/>
      <c r="G26" s="55"/>
      <c r="H26" s="55"/>
    </row>
    <row r="27" spans="1:8" ht="7.5" customHeight="1">
      <c r="A27" s="22" t="s">
        <v>688</v>
      </c>
      <c r="B27" s="184"/>
      <c r="C27" s="184"/>
      <c r="D27" s="184"/>
      <c r="E27" s="184"/>
      <c r="F27" s="184"/>
      <c r="G27" s="184"/>
      <c r="H27" s="184"/>
    </row>
    <row r="28" spans="1:8" ht="9.75" customHeight="1">
      <c r="A28" s="53" t="s">
        <v>689</v>
      </c>
      <c r="B28" s="185"/>
      <c r="C28" s="185"/>
      <c r="D28" s="185"/>
      <c r="E28" s="185"/>
      <c r="F28" s="185"/>
      <c r="G28" s="185"/>
      <c r="H28" s="185"/>
    </row>
    <row r="29" spans="2:8" ht="9.75" customHeight="1">
      <c r="B29" s="47"/>
      <c r="C29" s="47"/>
      <c r="D29" s="47"/>
      <c r="E29" s="47"/>
      <c r="F29" s="47"/>
      <c r="G29" s="47"/>
      <c r="H29" s="47"/>
    </row>
  </sheetData>
  <sheetProtection/>
  <mergeCells count="1">
    <mergeCell ref="A1:H1"/>
  </mergeCells>
  <printOptions/>
  <pageMargins left="0.5905511811023623"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K29"/>
  <sheetViews>
    <sheetView zoomScale="140" zoomScaleNormal="140" zoomScalePageLayoutView="0" workbookViewId="0" topLeftCell="A1">
      <selection activeCell="A1" sqref="A1:H1"/>
    </sheetView>
  </sheetViews>
  <sheetFormatPr defaultColWidth="11.421875" defaultRowHeight="9.75" customHeight="1"/>
  <cols>
    <col min="1" max="1" width="23.7109375" style="20" customWidth="1"/>
    <col min="2" max="6" width="6.7109375" style="20" customWidth="1"/>
    <col min="7" max="7" width="6.8515625" style="20" customWidth="1"/>
    <col min="8" max="8" width="9.57421875" style="20" customWidth="1"/>
    <col min="9" max="9" width="11.421875" style="279" customWidth="1"/>
    <col min="10" max="10" width="16.28125" style="279" customWidth="1"/>
    <col min="11" max="11" width="11.421875" style="279" customWidth="1"/>
    <col min="12" max="16384" width="11.421875" style="20" customWidth="1"/>
  </cols>
  <sheetData>
    <row r="1" spans="1:8" ht="15" customHeight="1">
      <c r="A1" s="1000" t="s">
        <v>554</v>
      </c>
      <c r="B1" s="1000"/>
      <c r="C1" s="1000"/>
      <c r="D1" s="1000"/>
      <c r="E1" s="1000"/>
      <c r="F1" s="1000"/>
      <c r="G1" s="1000"/>
      <c r="H1" s="1000"/>
    </row>
    <row r="2" spans="1:8" ht="9.75" customHeight="1">
      <c r="A2" s="1002" t="s">
        <v>714</v>
      </c>
      <c r="B2" s="1002"/>
      <c r="C2" s="1002"/>
      <c r="D2" s="1002"/>
      <c r="E2" s="1002"/>
      <c r="F2" s="1002"/>
      <c r="G2" s="1002"/>
      <c r="H2" s="1002"/>
    </row>
    <row r="3" spans="1:8" ht="7.5" customHeight="1">
      <c r="A3" s="130"/>
      <c r="B3" s="131"/>
      <c r="C3" s="129"/>
      <c r="D3" s="129"/>
      <c r="E3" s="129"/>
      <c r="F3" s="129"/>
      <c r="G3" s="129"/>
      <c r="H3" s="132"/>
    </row>
    <row r="4" spans="1:8" ht="19.5" customHeight="1">
      <c r="A4" s="28"/>
      <c r="B4" s="66" t="s">
        <v>521</v>
      </c>
      <c r="C4" s="66" t="s">
        <v>534</v>
      </c>
      <c r="D4" s="66" t="s">
        <v>523</v>
      </c>
      <c r="E4" s="66" t="s">
        <v>524</v>
      </c>
      <c r="F4" s="66" t="s">
        <v>525</v>
      </c>
      <c r="G4" s="27" t="s">
        <v>532</v>
      </c>
      <c r="H4" s="26" t="s">
        <v>527</v>
      </c>
    </row>
    <row r="5" spans="1:10" ht="7.5" customHeight="1">
      <c r="A5" s="53"/>
      <c r="B5" s="29"/>
      <c r="C5" s="29"/>
      <c r="D5" s="29"/>
      <c r="E5" s="29"/>
      <c r="F5" s="29"/>
      <c r="G5" s="69"/>
      <c r="H5" s="43"/>
      <c r="J5" s="281"/>
    </row>
    <row r="6" spans="1:10" ht="7.5" customHeight="1">
      <c r="A6" s="53" t="s">
        <v>555</v>
      </c>
      <c r="B6" s="467">
        <v>84245</v>
      </c>
      <c r="C6" s="467">
        <v>52256</v>
      </c>
      <c r="D6" s="467">
        <v>20249</v>
      </c>
      <c r="E6" s="467">
        <v>35380</v>
      </c>
      <c r="F6" s="467">
        <v>39144</v>
      </c>
      <c r="G6" s="495">
        <v>231274</v>
      </c>
      <c r="H6" s="454">
        <v>3884277</v>
      </c>
      <c r="J6" s="281"/>
    </row>
    <row r="7" spans="1:10" ht="7.5" customHeight="1">
      <c r="A7" s="53" t="s">
        <v>556</v>
      </c>
      <c r="B7" s="467">
        <v>85423</v>
      </c>
      <c r="C7" s="467">
        <v>53156</v>
      </c>
      <c r="D7" s="467">
        <v>21227</v>
      </c>
      <c r="E7" s="467">
        <v>37044</v>
      </c>
      <c r="F7" s="467">
        <v>41317</v>
      </c>
      <c r="G7" s="495">
        <v>238167</v>
      </c>
      <c r="H7" s="454">
        <v>3897370</v>
      </c>
      <c r="J7" s="281"/>
    </row>
    <row r="8" spans="1:10" ht="7.5" customHeight="1">
      <c r="A8" s="53" t="s">
        <v>557</v>
      </c>
      <c r="B8" s="467">
        <v>83966</v>
      </c>
      <c r="C8" s="467">
        <v>52340</v>
      </c>
      <c r="D8" s="467">
        <v>20826</v>
      </c>
      <c r="E8" s="467">
        <v>36802</v>
      </c>
      <c r="F8" s="467">
        <v>39696</v>
      </c>
      <c r="G8" s="495">
        <v>233630</v>
      </c>
      <c r="H8" s="454">
        <v>3895078</v>
      </c>
      <c r="J8" s="281"/>
    </row>
    <row r="9" spans="1:10" ht="7.5" customHeight="1">
      <c r="A9" s="53" t="s">
        <v>558</v>
      </c>
      <c r="B9" s="467">
        <v>83310</v>
      </c>
      <c r="C9" s="467">
        <v>51485</v>
      </c>
      <c r="D9" s="467">
        <v>18784</v>
      </c>
      <c r="E9" s="467">
        <v>34350</v>
      </c>
      <c r="F9" s="467">
        <v>34680</v>
      </c>
      <c r="G9" s="495">
        <v>222609</v>
      </c>
      <c r="H9" s="454">
        <v>3842398</v>
      </c>
      <c r="J9" s="281"/>
    </row>
    <row r="10" spans="1:8" ht="7.5" customHeight="1">
      <c r="A10" s="53" t="s">
        <v>559</v>
      </c>
      <c r="B10" s="467">
        <v>81514</v>
      </c>
      <c r="C10" s="467">
        <v>51629</v>
      </c>
      <c r="D10" s="467">
        <v>15415</v>
      </c>
      <c r="E10" s="467">
        <v>31541</v>
      </c>
      <c r="F10" s="467">
        <v>29058</v>
      </c>
      <c r="G10" s="495">
        <v>209157</v>
      </c>
      <c r="H10" s="454">
        <v>3879497</v>
      </c>
    </row>
    <row r="11" spans="1:8" ht="7.5" customHeight="1">
      <c r="A11" s="53" t="s">
        <v>277</v>
      </c>
      <c r="B11" s="467">
        <v>516361</v>
      </c>
      <c r="C11" s="467">
        <v>303676</v>
      </c>
      <c r="D11" s="467">
        <v>116964</v>
      </c>
      <c r="E11" s="467">
        <v>215999</v>
      </c>
      <c r="F11" s="467">
        <v>241334</v>
      </c>
      <c r="G11" s="495">
        <v>1394334</v>
      </c>
      <c r="H11" s="454">
        <v>24946360</v>
      </c>
    </row>
    <row r="12" spans="1:8" ht="7.5" customHeight="1">
      <c r="A12" s="53" t="s">
        <v>560</v>
      </c>
      <c r="B12" s="467">
        <v>80120</v>
      </c>
      <c r="C12" s="467">
        <v>49955</v>
      </c>
      <c r="D12" s="467">
        <v>19651</v>
      </c>
      <c r="E12" s="467">
        <v>37681</v>
      </c>
      <c r="F12" s="467">
        <v>43109</v>
      </c>
      <c r="G12" s="495">
        <v>230516</v>
      </c>
      <c r="H12" s="454">
        <v>4064841</v>
      </c>
    </row>
    <row r="13" spans="1:8" ht="7.5" customHeight="1">
      <c r="A13" s="53" t="s">
        <v>561</v>
      </c>
      <c r="B13" s="467">
        <v>80840</v>
      </c>
      <c r="C13" s="467">
        <v>48064</v>
      </c>
      <c r="D13" s="467">
        <v>19988</v>
      </c>
      <c r="E13" s="467">
        <v>37287</v>
      </c>
      <c r="F13" s="467">
        <v>47166</v>
      </c>
      <c r="G13" s="495">
        <v>233345</v>
      </c>
      <c r="H13" s="454">
        <v>4030845</v>
      </c>
    </row>
    <row r="14" spans="1:8" ht="7.5" customHeight="1">
      <c r="A14" s="53" t="s">
        <v>562</v>
      </c>
      <c r="B14" s="467">
        <v>97860</v>
      </c>
      <c r="C14" s="467">
        <v>61186</v>
      </c>
      <c r="D14" s="467">
        <v>25102</v>
      </c>
      <c r="E14" s="467">
        <v>48130</v>
      </c>
      <c r="F14" s="467">
        <v>61782</v>
      </c>
      <c r="G14" s="495">
        <v>294060</v>
      </c>
      <c r="H14" s="454">
        <v>5209004</v>
      </c>
    </row>
    <row r="15" spans="1:8" ht="7.5" customHeight="1">
      <c r="A15" s="53" t="s">
        <v>563</v>
      </c>
      <c r="B15" s="467">
        <v>76291</v>
      </c>
      <c r="C15" s="467">
        <v>50299</v>
      </c>
      <c r="D15" s="467">
        <v>22808</v>
      </c>
      <c r="E15" s="467">
        <v>40165</v>
      </c>
      <c r="F15" s="467">
        <v>48072</v>
      </c>
      <c r="G15" s="495">
        <v>237635</v>
      </c>
      <c r="H15" s="454">
        <v>4023259</v>
      </c>
    </row>
    <row r="16" spans="1:8" ht="7.5" customHeight="1">
      <c r="A16" s="53" t="s">
        <v>564</v>
      </c>
      <c r="B16" s="467">
        <v>33173</v>
      </c>
      <c r="C16" s="467">
        <v>23651</v>
      </c>
      <c r="D16" s="467">
        <v>10353</v>
      </c>
      <c r="E16" s="467">
        <v>18392</v>
      </c>
      <c r="F16" s="467">
        <v>19843</v>
      </c>
      <c r="G16" s="495">
        <v>105412</v>
      </c>
      <c r="H16" s="454">
        <v>1736262</v>
      </c>
    </row>
    <row r="17" spans="1:8" ht="7.5" customHeight="1">
      <c r="A17" s="803" t="s">
        <v>565</v>
      </c>
      <c r="B17" s="821">
        <v>1303103</v>
      </c>
      <c r="C17" s="821">
        <v>797697</v>
      </c>
      <c r="D17" s="821">
        <v>311367</v>
      </c>
      <c r="E17" s="821">
        <v>572771</v>
      </c>
      <c r="F17" s="821">
        <v>645201</v>
      </c>
      <c r="G17" s="822">
        <v>3630139</v>
      </c>
      <c r="H17" s="823">
        <v>63409191</v>
      </c>
    </row>
    <row r="18" spans="1:8" ht="7.5" customHeight="1">
      <c r="A18" s="44"/>
      <c r="B18" s="29"/>
      <c r="C18" s="29"/>
      <c r="D18" s="29"/>
      <c r="E18" s="29"/>
      <c r="F18" s="29"/>
      <c r="G18" s="69"/>
      <c r="H18" s="119"/>
    </row>
    <row r="19" spans="1:8" ht="7.5" customHeight="1">
      <c r="A19" s="120" t="s">
        <v>496</v>
      </c>
      <c r="B19" s="456">
        <v>101428</v>
      </c>
      <c r="C19" s="456">
        <v>63183</v>
      </c>
      <c r="D19" s="456">
        <v>24613</v>
      </c>
      <c r="E19" s="456">
        <v>42968</v>
      </c>
      <c r="F19" s="456">
        <v>47521</v>
      </c>
      <c r="G19" s="457">
        <v>279713</v>
      </c>
      <c r="H19" s="454">
        <v>4678056</v>
      </c>
    </row>
    <row r="20" spans="1:8" ht="7.5" customHeight="1">
      <c r="A20" s="22" t="s">
        <v>595</v>
      </c>
      <c r="B20" s="456">
        <v>185307</v>
      </c>
      <c r="C20" s="456">
        <v>115395</v>
      </c>
      <c r="D20" s="456">
        <v>45700</v>
      </c>
      <c r="E20" s="456">
        <v>80560</v>
      </c>
      <c r="F20" s="456">
        <v>87755</v>
      </c>
      <c r="G20" s="457">
        <v>514717</v>
      </c>
      <c r="H20" s="454">
        <v>8540982</v>
      </c>
    </row>
    <row r="21" spans="1:8" ht="7.5" customHeight="1">
      <c r="A21" s="22" t="s">
        <v>512</v>
      </c>
      <c r="B21" s="455">
        <v>164156</v>
      </c>
      <c r="C21" s="455">
        <v>102187</v>
      </c>
      <c r="D21" s="455">
        <v>33306</v>
      </c>
      <c r="E21" s="455">
        <v>64692</v>
      </c>
      <c r="F21" s="455">
        <v>62216</v>
      </c>
      <c r="G21" s="457">
        <v>426557</v>
      </c>
      <c r="H21" s="454">
        <v>7726461</v>
      </c>
    </row>
    <row r="22" spans="1:8" ht="7.5" customHeight="1">
      <c r="A22" s="22" t="s">
        <v>278</v>
      </c>
      <c r="B22" s="455">
        <v>661544</v>
      </c>
      <c r="C22" s="455">
        <v>392427</v>
      </c>
      <c r="D22" s="455">
        <v>153435</v>
      </c>
      <c r="E22" s="455">
        <v>284991</v>
      </c>
      <c r="F22" s="455">
        <v>325411</v>
      </c>
      <c r="G22" s="457">
        <v>1817808</v>
      </c>
      <c r="H22" s="454">
        <v>32268888</v>
      </c>
    </row>
    <row r="23" spans="1:8" ht="7.5" customHeight="1">
      <c r="A23" s="22" t="s">
        <v>279</v>
      </c>
      <c r="B23" s="467">
        <v>207324</v>
      </c>
      <c r="C23" s="467">
        <v>135136</v>
      </c>
      <c r="D23" s="467">
        <v>58263</v>
      </c>
      <c r="E23" s="467">
        <v>106687</v>
      </c>
      <c r="F23" s="467">
        <v>129697</v>
      </c>
      <c r="G23" s="495">
        <v>637107</v>
      </c>
      <c r="H23" s="454">
        <v>10968525</v>
      </c>
    </row>
    <row r="24" spans="1:8" ht="7.5" customHeight="1">
      <c r="A24" s="120" t="s">
        <v>566</v>
      </c>
      <c r="B24" s="467">
        <v>109464</v>
      </c>
      <c r="C24" s="467">
        <v>73950</v>
      </c>
      <c r="D24" s="467">
        <v>33161</v>
      </c>
      <c r="E24" s="467">
        <v>58557</v>
      </c>
      <c r="F24" s="467">
        <v>67915</v>
      </c>
      <c r="G24" s="495">
        <v>343047</v>
      </c>
      <c r="H24" s="454">
        <v>5759521</v>
      </c>
    </row>
    <row r="25" spans="1:8" ht="7.5" customHeight="1">
      <c r="A25" s="120" t="s">
        <v>567</v>
      </c>
      <c r="B25" s="455">
        <v>67501</v>
      </c>
      <c r="C25" s="455">
        <v>46483</v>
      </c>
      <c r="D25" s="455">
        <v>20733</v>
      </c>
      <c r="E25" s="455">
        <v>36333</v>
      </c>
      <c r="F25" s="455">
        <v>41037</v>
      </c>
      <c r="G25" s="457">
        <v>212087</v>
      </c>
      <c r="H25" s="454">
        <v>3543351</v>
      </c>
    </row>
    <row r="26" spans="1:9" ht="7.5" customHeight="1">
      <c r="A26" s="22" t="s">
        <v>568</v>
      </c>
      <c r="B26" s="29">
        <v>296812</v>
      </c>
      <c r="C26" s="29">
        <v>177266</v>
      </c>
      <c r="D26" s="29">
        <v>63601</v>
      </c>
      <c r="E26" s="29">
        <v>121030</v>
      </c>
      <c r="F26" s="29">
        <v>129237</v>
      </c>
      <c r="G26" s="30">
        <v>787946</v>
      </c>
      <c r="H26" s="29">
        <v>14258117</v>
      </c>
      <c r="I26" s="281"/>
    </row>
    <row r="27" spans="1:8" ht="7.5" customHeight="1" thickBot="1">
      <c r="A27" s="824"/>
      <c r="B27" s="824"/>
      <c r="C27" s="824"/>
      <c r="D27" s="824"/>
      <c r="E27" s="824"/>
      <c r="F27" s="824"/>
      <c r="G27" s="824"/>
      <c r="H27" s="825"/>
    </row>
    <row r="28" spans="1:11" s="136" customFormat="1" ht="9.75" customHeight="1">
      <c r="A28" s="22" t="s">
        <v>872</v>
      </c>
      <c r="B28" s="137"/>
      <c r="C28" s="137"/>
      <c r="D28" s="137"/>
      <c r="E28" s="137"/>
      <c r="F28" s="137"/>
      <c r="G28" s="137"/>
      <c r="H28" s="138"/>
      <c r="I28" s="280"/>
      <c r="J28" s="280"/>
      <c r="K28" s="280"/>
    </row>
    <row r="29" spans="1:11" s="136" customFormat="1" ht="9.75" customHeight="1">
      <c r="A29" s="147"/>
      <c r="B29" s="137"/>
      <c r="C29" s="137"/>
      <c r="D29" s="137"/>
      <c r="E29" s="137"/>
      <c r="F29" s="137"/>
      <c r="G29" s="137"/>
      <c r="H29" s="138"/>
      <c r="I29" s="280"/>
      <c r="J29" s="280"/>
      <c r="K29" s="280"/>
    </row>
  </sheetData>
  <sheetProtection/>
  <mergeCells count="2">
    <mergeCell ref="A2:H2"/>
    <mergeCell ref="A1:H1"/>
  </mergeCells>
  <printOptions/>
  <pageMargins left="0.5905511811023623" right="0.5905511811023623" top="0.7874015748031497" bottom="0.7874015748031497"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K29"/>
  <sheetViews>
    <sheetView zoomScale="140" zoomScaleNormal="140" zoomScalePageLayoutView="0" workbookViewId="0" topLeftCell="A1">
      <selection activeCell="A1" sqref="A1:H1"/>
    </sheetView>
  </sheetViews>
  <sheetFormatPr defaultColWidth="11.421875" defaultRowHeight="9.75" customHeight="1"/>
  <cols>
    <col min="1" max="1" width="23.7109375" style="20" customWidth="1"/>
    <col min="2" max="6" width="6.7109375" style="20" customWidth="1"/>
    <col min="7" max="7" width="6.8515625" style="20" customWidth="1"/>
    <col min="8" max="8" width="9.57421875" style="20" customWidth="1"/>
    <col min="9" max="9" width="11.421875" style="279" customWidth="1"/>
    <col min="10" max="10" width="16.28125" style="279" customWidth="1"/>
    <col min="11" max="11" width="11.421875" style="279" customWidth="1"/>
    <col min="12" max="16384" width="11.421875" style="20" customWidth="1"/>
  </cols>
  <sheetData>
    <row r="1" spans="1:8" ht="15" customHeight="1">
      <c r="A1" s="1000" t="s">
        <v>569</v>
      </c>
      <c r="B1" s="1000"/>
      <c r="C1" s="1000"/>
      <c r="D1" s="1000"/>
      <c r="E1" s="1000"/>
      <c r="F1" s="1000"/>
      <c r="G1" s="1000"/>
      <c r="H1" s="1000"/>
    </row>
    <row r="2" spans="1:8" ht="9.75" customHeight="1">
      <c r="A2" s="1002" t="s">
        <v>715</v>
      </c>
      <c r="B2" s="1002"/>
      <c r="C2" s="1002"/>
      <c r="D2" s="1002"/>
      <c r="E2" s="1002"/>
      <c r="F2" s="1002"/>
      <c r="G2" s="1002"/>
      <c r="H2" s="1002"/>
    </row>
    <row r="3" spans="1:8" ht="7.5" customHeight="1">
      <c r="A3" s="75"/>
      <c r="B3" s="82"/>
      <c r="C3" s="81"/>
      <c r="D3" s="81"/>
      <c r="E3" s="81"/>
      <c r="F3" s="81"/>
      <c r="G3" s="81"/>
      <c r="H3" s="75"/>
    </row>
    <row r="4" spans="1:8" ht="19.5" customHeight="1">
      <c r="A4" s="77"/>
      <c r="B4" s="26" t="s">
        <v>521</v>
      </c>
      <c r="C4" s="26" t="s">
        <v>522</v>
      </c>
      <c r="D4" s="26" t="s">
        <v>523</v>
      </c>
      <c r="E4" s="26" t="s">
        <v>524</v>
      </c>
      <c r="F4" s="26" t="s">
        <v>525</v>
      </c>
      <c r="G4" s="27" t="s">
        <v>532</v>
      </c>
      <c r="H4" s="78" t="s">
        <v>527</v>
      </c>
    </row>
    <row r="5" spans="1:8" ht="7.5" customHeight="1">
      <c r="A5" s="79"/>
      <c r="B5" s="26"/>
      <c r="C5" s="26"/>
      <c r="D5" s="26"/>
      <c r="E5" s="26"/>
      <c r="F5" s="26"/>
      <c r="G5" s="27"/>
      <c r="H5" s="27"/>
    </row>
    <row r="6" spans="1:8" ht="7.5" customHeight="1">
      <c r="A6" s="44" t="s">
        <v>555</v>
      </c>
      <c r="B6" s="186">
        <f>'page 7 Démo'!B6/'page 7 Démo'!B$17</f>
        <v>0.06464953269235049</v>
      </c>
      <c r="C6" s="186">
        <f>'page 7 Démo'!C6/'page 7 Démo'!C$17</f>
        <v>0.06550858283283001</v>
      </c>
      <c r="D6" s="186">
        <f>'page 7 Démo'!D6/'page 7 Démo'!D$17</f>
        <v>0.06503258212976969</v>
      </c>
      <c r="E6" s="186">
        <f>'page 7 Démo'!E6/'page 7 Démo'!E$17</f>
        <v>0.06176988709274736</v>
      </c>
      <c r="F6" s="186">
        <f>'page 7 Démo'!F6/'page 7 Démo'!F$17</f>
        <v>0.06066946579438036</v>
      </c>
      <c r="G6" s="229">
        <f>'page 7 Démo'!G6/'page 7 Démo'!G$17</f>
        <v>0.0637094061687445</v>
      </c>
      <c r="H6" s="186">
        <f>'page 7 Démo'!H6/'page 7 Démo'!H$17</f>
        <v>0.06125731835941575</v>
      </c>
    </row>
    <row r="7" spans="1:8" ht="7.5" customHeight="1">
      <c r="A7" s="44" t="s">
        <v>556</v>
      </c>
      <c r="B7" s="424">
        <f>'page 7 Démo'!B7/'page 7 Démo'!B$17</f>
        <v>0.06555352876940657</v>
      </c>
      <c r="C7" s="424">
        <f>'page 7 Démo'!C7/'page 7 Démo'!C$17</f>
        <v>0.06663683077659813</v>
      </c>
      <c r="D7" s="424">
        <f>'page 7 Démo'!D7/'page 7 Démo'!D$17</f>
        <v>0.06817357009573911</v>
      </c>
      <c r="E7" s="424">
        <f>'page 7 Démo'!E7/'page 7 Démo'!E$17</f>
        <v>0.06467506211033729</v>
      </c>
      <c r="F7" s="424">
        <f>'page 7 Démo'!F7/'page 7 Démo'!F$17</f>
        <v>0.06403740849750698</v>
      </c>
      <c r="G7" s="425">
        <f>'page 7 Démo'!G7/'page 7 Démo'!G$17</f>
        <v>0.06560823153052817</v>
      </c>
      <c r="H7" s="424">
        <f>'page 7 Démo'!H7/'page 7 Démo'!H$17</f>
        <v>0.061463802621295076</v>
      </c>
    </row>
    <row r="8" spans="1:8" ht="7.5" customHeight="1">
      <c r="A8" s="44" t="s">
        <v>557</v>
      </c>
      <c r="B8" s="186">
        <f>'page 7 Démo'!B8/'page 7 Démo'!B$17</f>
        <v>0.0644354283583109</v>
      </c>
      <c r="C8" s="186">
        <f>'page 7 Démo'!C8/'page 7 Démo'!C$17</f>
        <v>0.06561388597424837</v>
      </c>
      <c r="D8" s="186">
        <f>'page 7 Démo'!D8/'page 7 Démo'!D$17</f>
        <v>0.06688570079680892</v>
      </c>
      <c r="E8" s="186">
        <f>'page 7 Démo'!E8/'page 7 Démo'!E$17</f>
        <v>0.06425255468590414</v>
      </c>
      <c r="F8" s="186">
        <f>'page 7 Démo'!F8/'page 7 Démo'!F$17</f>
        <v>0.061525013135441516</v>
      </c>
      <c r="G8" s="229">
        <f>'page 7 Démo'!G8/'page 7 Démo'!G$17</f>
        <v>0.06435841712948182</v>
      </c>
      <c r="H8" s="186">
        <f>'page 7 Démo'!H8/'page 7 Démo'!H$17</f>
        <v>0.06142765644179248</v>
      </c>
    </row>
    <row r="9" spans="1:8" ht="7.5" customHeight="1">
      <c r="A9" s="44" t="s">
        <v>558</v>
      </c>
      <c r="B9" s="186">
        <f>'page 7 Démo'!B9/'page 7 Démo'!B$17</f>
        <v>0.06393201458365148</v>
      </c>
      <c r="C9" s="186">
        <f>'page 7 Démo'!C9/'page 7 Démo'!C$17</f>
        <v>0.06454205042766865</v>
      </c>
      <c r="D9" s="186">
        <f>'page 7 Démo'!D9/'page 7 Démo'!D$17</f>
        <v>0.06032752346908953</v>
      </c>
      <c r="E9" s="186">
        <f>'page 7 Démo'!E9/'page 7 Démo'!E$17</f>
        <v>0.05997161169123437</v>
      </c>
      <c r="F9" s="186">
        <f>'page 7 Démo'!F9/'page 7 Démo'!F$17</f>
        <v>0.05375069164492925</v>
      </c>
      <c r="G9" s="229">
        <f>'page 7 Démo'!G9/'page 7 Démo'!G$17</f>
        <v>0.06132244522868133</v>
      </c>
      <c r="H9" s="186">
        <f>'page 7 Démo'!H9/'page 7 Démo'!H$17</f>
        <v>0.06059686205427223</v>
      </c>
    </row>
    <row r="10" spans="1:8" ht="7.5" customHeight="1">
      <c r="A10" s="44" t="s">
        <v>559</v>
      </c>
      <c r="B10" s="186">
        <f>'page 7 Démo'!B10/'page 7 Démo'!B$17</f>
        <v>0.062553765895712</v>
      </c>
      <c r="C10" s="186">
        <f>'page 7 Démo'!C10/'page 7 Démo'!C$17</f>
        <v>0.06472257009867155</v>
      </c>
      <c r="D10" s="186">
        <f>'page 7 Démo'!D10/'page 7 Démo'!D$17</f>
        <v>0.04950749437159365</v>
      </c>
      <c r="E10" s="186">
        <f>'page 7 Démo'!E10/'page 7 Démo'!E$17</f>
        <v>0.055067382950603296</v>
      </c>
      <c r="F10" s="186">
        <f>'page 7 Démo'!F10/'page 7 Démo'!F$17</f>
        <v>0.04503712796477377</v>
      </c>
      <c r="G10" s="229">
        <f>'page 7 Démo'!G10/'page 7 Démo'!G$17</f>
        <v>0.057616802001245686</v>
      </c>
      <c r="H10" s="186">
        <f>'page 7 Démo'!H10/'page 7 Démo'!H$17</f>
        <v>0.06118193496586323</v>
      </c>
    </row>
    <row r="11" spans="1:8" ht="7.5" customHeight="1">
      <c r="A11" s="44" t="s">
        <v>277</v>
      </c>
      <c r="B11" s="186">
        <f>'page 7 Démo'!B11/'page 7 Démo'!B$17</f>
        <v>0.3962549391721146</v>
      </c>
      <c r="C11" s="186">
        <f>'page 7 Démo'!C11/'page 7 Démo'!C$17</f>
        <v>0.38069091396858706</v>
      </c>
      <c r="D11" s="186">
        <f>'page 7 Démo'!D11/'page 7 Démo'!D$17</f>
        <v>0.37564674483808497</v>
      </c>
      <c r="E11" s="186">
        <f>'page 7 Démo'!E11/'page 7 Démo'!E$17</f>
        <v>0.37711231888485974</v>
      </c>
      <c r="F11" s="186">
        <f>'page 7 Démo'!F11/'page 7 Démo'!F$17</f>
        <v>0.3740446775500968</v>
      </c>
      <c r="G11" s="229">
        <f>'page 7 Démo'!G11/'page 7 Démo'!G$17</f>
        <v>0.38409934165055387</v>
      </c>
      <c r="H11" s="186">
        <f>'page 7 Démo'!H11/'page 7 Démo'!H$17</f>
        <v>0.39341867648177375</v>
      </c>
    </row>
    <row r="12" spans="1:8" ht="7.5" customHeight="1">
      <c r="A12" s="44" t="s">
        <v>560</v>
      </c>
      <c r="B12" s="186">
        <f>'page 7 Démo'!B12/'page 7 Démo'!B$17</f>
        <v>0.06148401162456076</v>
      </c>
      <c r="C12" s="186">
        <f>'page 7 Démo'!C12/'page 7 Démo'!C$17</f>
        <v>0.06262402892326284</v>
      </c>
      <c r="D12" s="186">
        <f>'page 7 Démo'!D12/'page 7 Démo'!D$17</f>
        <v>0.06311201893585383</v>
      </c>
      <c r="E12" s="186">
        <f>'page 7 Démo'!E12/'page 7 Démo'!E$17</f>
        <v>0.06578719942175844</v>
      </c>
      <c r="F12" s="186">
        <f>'page 7 Démo'!F12/'page 7 Démo'!F$17</f>
        <v>0.066814837546749</v>
      </c>
      <c r="G12" s="229">
        <f>'page 7 Démo'!G12/'page 7 Démo'!G$17</f>
        <v>0.06350059873740371</v>
      </c>
      <c r="H12" s="186">
        <f>'page 7 Démo'!H12/'page 7 Démo'!H$17</f>
        <v>0.06410491816557004</v>
      </c>
    </row>
    <row r="13" spans="1:8" ht="7.5" customHeight="1">
      <c r="A13" s="44" t="s">
        <v>561</v>
      </c>
      <c r="B13" s="186">
        <f>'page 7 Démo'!B13/'page 7 Démo'!B$17</f>
        <v>0.06203653893821133</v>
      </c>
      <c r="C13" s="186">
        <f>'page 7 Démo'!C13/'page 7 Démo'!C$17</f>
        <v>0.06025345463252338</v>
      </c>
      <c r="D13" s="186">
        <f>'page 7 Démo'!D13/'page 7 Démo'!D$17</f>
        <v>0.06419434301001711</v>
      </c>
      <c r="E13" s="186">
        <f>'page 7 Démo'!E13/'page 7 Démo'!E$17</f>
        <v>0.06509931543321851</v>
      </c>
      <c r="F13" s="186">
        <f>'page 7 Démo'!F13/'page 7 Démo'!F$17</f>
        <v>0.07310280052262783</v>
      </c>
      <c r="G13" s="229">
        <f>'page 7 Démo'!G13/'page 7 Démo'!G$17</f>
        <v>0.06427990773907005</v>
      </c>
      <c r="H13" s="186">
        <f>'page 7 Démo'!H13/'page 7 Démo'!H$17</f>
        <v>0.06356878137745046</v>
      </c>
    </row>
    <row r="14" spans="1:8" ht="7.5" customHeight="1">
      <c r="A14" s="44" t="s">
        <v>562</v>
      </c>
      <c r="B14" s="186">
        <f>'page 7 Démo'!B14/'page 7 Démo'!B$17</f>
        <v>0.07509767071367345</v>
      </c>
      <c r="C14" s="186">
        <f>'page 7 Démo'!C14/'page 7 Démo'!C$17</f>
        <v>0.0767033096526626</v>
      </c>
      <c r="D14" s="186">
        <f>'page 7 Démo'!D14/'page 7 Démo'!D$17</f>
        <v>0.08061869112654842</v>
      </c>
      <c r="E14" s="186">
        <f>'page 7 Démo'!E14/'page 7 Démo'!E$17</f>
        <v>0.08403009230565095</v>
      </c>
      <c r="F14" s="186">
        <f>'page 7 Démo'!F14/'page 7 Démo'!F$17</f>
        <v>0.09575620620550805</v>
      </c>
      <c r="G14" s="229">
        <f>'page 7 Démo'!G14/'page 7 Démo'!G$17</f>
        <v>0.08100516261223055</v>
      </c>
      <c r="H14" s="186">
        <f>'page 7 Démo'!H14/'page 7 Démo'!H$17</f>
        <v>0.0821490373532758</v>
      </c>
    </row>
    <row r="15" spans="1:8" ht="7.5" customHeight="1">
      <c r="A15" s="44" t="s">
        <v>563</v>
      </c>
      <c r="B15" s="186">
        <f>'page 7 Démo'!B15/'page 7 Démo'!B$17</f>
        <v>0.05854564067460515</v>
      </c>
      <c r="C15" s="186">
        <f>'page 7 Démo'!C15/'page 7 Démo'!C$17</f>
        <v>0.06305527035954754</v>
      </c>
      <c r="D15" s="186">
        <f>'page 7 Démo'!D15/'page 7 Démo'!D$17</f>
        <v>0.07325117947630931</v>
      </c>
      <c r="E15" s="186">
        <f>'page 7 Démo'!E15/'page 7 Démo'!E$17</f>
        <v>0.07012401116676648</v>
      </c>
      <c r="F15" s="186">
        <f>'page 7 Démo'!F15/'page 7 Démo'!F$17</f>
        <v>0.07450701409328256</v>
      </c>
      <c r="G15" s="229">
        <f>'page 7 Démo'!G15/'page 7 Démo'!G$17</f>
        <v>0.0654616806684262</v>
      </c>
      <c r="H15" s="186">
        <f>'page 7 Démo'!H15/'page 7 Démo'!H$17</f>
        <v>0.0634491457240008</v>
      </c>
    </row>
    <row r="16" spans="1:8" ht="7.5" customHeight="1">
      <c r="A16" s="44" t="s">
        <v>564</v>
      </c>
      <c r="B16" s="186">
        <f>'page 7 Démo'!B16/'page 7 Démo'!B$17</f>
        <v>0.02545692857740332</v>
      </c>
      <c r="C16" s="186">
        <f>'page 7 Démo'!C16/'page 7 Démo'!C$17</f>
        <v>0.02964910235339985</v>
      </c>
      <c r="D16" s="186">
        <f>'page 7 Démo'!D16/'page 7 Démo'!D$17</f>
        <v>0.033250151750185475</v>
      </c>
      <c r="E16" s="186">
        <f>'page 7 Démo'!E16/'page 7 Démo'!E$17</f>
        <v>0.03211056425691943</v>
      </c>
      <c r="F16" s="186">
        <f>'page 7 Démo'!F16/'page 7 Démo'!F$17</f>
        <v>0.030754757044703897</v>
      </c>
      <c r="G16" s="229">
        <f>'page 7 Démo'!G16/'page 7 Démo'!G$17</f>
        <v>0.02903800653363411</v>
      </c>
      <c r="H16" s="186">
        <f>'page 7 Démo'!H16/'page 7 Démo'!H$17</f>
        <v>0.02738186645529037</v>
      </c>
    </row>
    <row r="17" spans="1:8" ht="7.5" customHeight="1">
      <c r="A17" s="826" t="s">
        <v>565</v>
      </c>
      <c r="B17" s="827">
        <f>'page 7 Démo'!B17/'page 7 Démo'!B$17</f>
        <v>1</v>
      </c>
      <c r="C17" s="827">
        <f>'page 7 Démo'!C17/'page 7 Démo'!C$17</f>
        <v>1</v>
      </c>
      <c r="D17" s="827">
        <f>'page 7 Démo'!D17/'page 7 Démo'!D$17</f>
        <v>1</v>
      </c>
      <c r="E17" s="827">
        <f>'page 7 Démo'!E17/'page 7 Démo'!E$17</f>
        <v>1</v>
      </c>
      <c r="F17" s="827">
        <f>'page 7 Démo'!F17/'page 7 Démo'!F$17</f>
        <v>1</v>
      </c>
      <c r="G17" s="827">
        <f>'page 7 Démo'!G17/'page 7 Démo'!G$17</f>
        <v>1</v>
      </c>
      <c r="H17" s="827">
        <f>'page 7 Démo'!H17/'page 7 Démo'!H$17</f>
        <v>1</v>
      </c>
    </row>
    <row r="18" spans="1:11" s="133" customFormat="1" ht="7.5" customHeight="1">
      <c r="A18" s="87"/>
      <c r="B18" s="134"/>
      <c r="C18" s="134"/>
      <c r="D18" s="134"/>
      <c r="E18" s="134"/>
      <c r="F18" s="134"/>
      <c r="G18" s="134"/>
      <c r="H18" s="134"/>
      <c r="I18" s="279"/>
      <c r="J18" s="281"/>
      <c r="K18" s="281"/>
    </row>
    <row r="19" spans="1:8" ht="7.5" customHeight="1">
      <c r="A19" s="120" t="s">
        <v>496</v>
      </c>
      <c r="B19" s="186">
        <f>'page 7 Démo'!B19/'page 7 Démo'!B$17</f>
        <v>0.07783575051243072</v>
      </c>
      <c r="C19" s="186">
        <f>'page 7 Démo'!C19/'page 7 Démo'!C$17</f>
        <v>0.07920676647900142</v>
      </c>
      <c r="D19" s="186">
        <f>'page 7 Démo'!D19/'page 7 Démo'!D$17</f>
        <v>0.0790481971435637</v>
      </c>
      <c r="E19" s="186">
        <f>'page 7 Démo'!E19/'page 7 Démo'!E$17</f>
        <v>0.07501776451670912</v>
      </c>
      <c r="F19" s="186">
        <f>'page 7 Démo'!F19/'page 7 Démo'!F$17</f>
        <v>0.07365301665682478</v>
      </c>
      <c r="G19" s="229">
        <f>'page 7 Démo'!G19/'page 7 Démo'!G$17</f>
        <v>0.0770529723517474</v>
      </c>
      <c r="H19" s="186">
        <f>'page 7 Démo'!H19/'page 7 Démo'!H$17</f>
        <v>0.07377567709387745</v>
      </c>
    </row>
    <row r="20" spans="1:8" ht="7.5" customHeight="1">
      <c r="A20" s="22" t="s">
        <v>595</v>
      </c>
      <c r="B20" s="186">
        <f>'page 7 Démo'!B20/'page 7 Démo'!B$17</f>
        <v>0.1422044151536755</v>
      </c>
      <c r="C20" s="186">
        <f>'page 7 Démo'!C20/'page 7 Démo'!C$17</f>
        <v>0.14466019052346943</v>
      </c>
      <c r="D20" s="186">
        <f>'page 7 Démo'!D20/'page 7 Démo'!D$17</f>
        <v>0.14677213706012518</v>
      </c>
      <c r="E20" s="186">
        <f>'page 7 Démo'!E20/'page 7 Démo'!E$17</f>
        <v>0.14064957897658925</v>
      </c>
      <c r="F20" s="186">
        <f>'page 7 Démo'!F20/'page 7 Démo'!F$17</f>
        <v>0.13601187846888024</v>
      </c>
      <c r="G20" s="229">
        <f>'page 7 Démo'!G20/'page 7 Démo'!G$17</f>
        <v>0.14178988738447756</v>
      </c>
      <c r="H20" s="186">
        <f>'page 7 Démo'!H20/'page 7 Démo'!H$17</f>
        <v>0.13469627770523046</v>
      </c>
    </row>
    <row r="21" spans="1:8" ht="7.5" customHeight="1">
      <c r="A21" s="22" t="s">
        <v>512</v>
      </c>
      <c r="B21" s="186">
        <f>'page 7 Démo'!B21/'page 7 Démo'!B$17</f>
        <v>0.12597315791614325</v>
      </c>
      <c r="C21" s="186">
        <f>'page 7 Démo'!C21/'page 7 Démo'!C$17</f>
        <v>0.12810252514425904</v>
      </c>
      <c r="D21" s="186">
        <f>'page 7 Démo'!D21/'page 7 Démo'!D$17</f>
        <v>0.10696701962635732</v>
      </c>
      <c r="E21" s="186">
        <f>'page 7 Démo'!E21/'page 7 Démo'!E$17</f>
        <v>0.11294566240260069</v>
      </c>
      <c r="F21" s="186">
        <f>'page 7 Démo'!F21/'page 7 Démo'!F$17</f>
        <v>0.09642886480337136</v>
      </c>
      <c r="G21" s="229">
        <f>'page 7 Démo'!G21/'page 7 Démo'!G$17</f>
        <v>0.11750431595043606</v>
      </c>
      <c r="H21" s="186">
        <f>'page 7 Démo'!H21/'page 7 Démo'!H$17</f>
        <v>0.12185080550862099</v>
      </c>
    </row>
    <row r="22" spans="1:8" ht="7.5" customHeight="1">
      <c r="A22" s="22" t="s">
        <v>278</v>
      </c>
      <c r="B22" s="186">
        <f>'page 7 Démo'!B22/'page 7 Démo'!B$17</f>
        <v>0.5076682349745185</v>
      </c>
      <c r="C22" s="186">
        <f>'page 7 Démo'!C22/'page 7 Démo'!C$17</f>
        <v>0.49194995092121446</v>
      </c>
      <c r="D22" s="186">
        <f>'page 7 Démo'!D22/'page 7 Démo'!D$17</f>
        <v>0.4927786181579936</v>
      </c>
      <c r="E22" s="186">
        <f>'page 7 Démo'!E22/'page 7 Démo'!E$17</f>
        <v>0.4975653446141652</v>
      </c>
      <c r="F22" s="186">
        <f>'page 7 Démo'!F22/'page 7 Démo'!F$17</f>
        <v>0.504356006887776</v>
      </c>
      <c r="G22" s="229">
        <f>'page 7 Démo'!G22/'page 7 Démo'!G$17</f>
        <v>0.5007543788268163</v>
      </c>
      <c r="H22" s="186">
        <f>'page 7 Démo'!H22/'page 7 Démo'!H$17</f>
        <v>0.5088992225117649</v>
      </c>
    </row>
    <row r="23" spans="1:8" ht="7.5" customHeight="1">
      <c r="A23" s="22" t="s">
        <v>279</v>
      </c>
      <c r="B23" s="186">
        <f>'page 7 Démo'!B23/'page 7 Démo'!B$17</f>
        <v>0.15910023996568193</v>
      </c>
      <c r="C23" s="186">
        <f>'page 7 Démo'!C23/'page 7 Démo'!C$17</f>
        <v>0.16940768236561</v>
      </c>
      <c r="D23" s="186">
        <f>'page 7 Démo'!D23/'page 7 Démo'!D$17</f>
        <v>0.1871200223530432</v>
      </c>
      <c r="E23" s="186">
        <f>'page 7 Démo'!E23/'page 7 Démo'!E$17</f>
        <v>0.18626466772933686</v>
      </c>
      <c r="F23" s="186">
        <f>'page 7 Démo'!F23/'page 7 Démo'!F$17</f>
        <v>0.2010179773434945</v>
      </c>
      <c r="G23" s="229">
        <f>'page 7 Démo'!G23/'page 7 Démo'!G$17</f>
        <v>0.17550484981429085</v>
      </c>
      <c r="H23" s="186">
        <f>'page 7 Démo'!H23/'page 7 Démo'!H$17</f>
        <v>0.172980049532567</v>
      </c>
    </row>
    <row r="24" spans="1:8" ht="7.5" customHeight="1">
      <c r="A24" s="120" t="s">
        <v>566</v>
      </c>
      <c r="B24" s="186">
        <f>'page 7 Démo'!B24/'page 7 Démo'!B$17</f>
        <v>0.08400256925200847</v>
      </c>
      <c r="C24" s="186">
        <f>'page 7 Démo'!C24/'page 7 Démo'!C$17</f>
        <v>0.0927043727129474</v>
      </c>
      <c r="D24" s="186">
        <f>'page 7 Démo'!D24/'page 7 Démo'!D$17</f>
        <v>0.10650133122649479</v>
      </c>
      <c r="E24" s="186">
        <f>'page 7 Démo'!E24/'page 7 Démo'!E$17</f>
        <v>0.1022345754236859</v>
      </c>
      <c r="F24" s="186">
        <f>'page 7 Démo'!F24/'page 7 Démo'!F$17</f>
        <v>0.10526177113798646</v>
      </c>
      <c r="G24" s="229">
        <f>'page 7 Démo'!G24/'page 7 Démo'!G$17</f>
        <v>0.09449968720206031</v>
      </c>
      <c r="H24" s="186">
        <f>'page 7 Démo'!H24/'page 7 Démo'!H$17</f>
        <v>0.09083101217929117</v>
      </c>
    </row>
    <row r="25" spans="1:8" ht="7.5" customHeight="1">
      <c r="A25" s="120" t="s">
        <v>567</v>
      </c>
      <c r="B25" s="186">
        <f>'page 7 Démo'!B25/'page 7 Démo'!B$17</f>
        <v>0.05180020305378777</v>
      </c>
      <c r="C25" s="186">
        <f>'page 7 Démo'!C25/'page 7 Démo'!C$17</f>
        <v>0.05827149907797071</v>
      </c>
      <c r="D25" s="186">
        <f>'page 7 Démo'!D25/'page 7 Démo'!D$17</f>
        <v>0.06658701789206949</v>
      </c>
      <c r="E25" s="186">
        <f>'page 7 Démo'!E25/'page 7 Démo'!E$17</f>
        <v>0.0634337283137589</v>
      </c>
      <c r="F25" s="186">
        <f>'page 7 Démo'!F25/'page 7 Démo'!F$17</f>
        <v>0.06360343520856292</v>
      </c>
      <c r="G25" s="229">
        <f>'page 7 Démo'!G25/'page 7 Démo'!G$17</f>
        <v>0.05842393362898776</v>
      </c>
      <c r="H25" s="186">
        <f>'page 7 Démo'!H25/'page 7 Démo'!H$17</f>
        <v>0.05588071609366535</v>
      </c>
    </row>
    <row r="26" spans="1:9" ht="7.5" customHeight="1">
      <c r="A26" s="22" t="s">
        <v>568</v>
      </c>
      <c r="B26" s="186">
        <f>'page 7 Démo'!B26/'page 7 Démo'!B$17</f>
        <v>0.227773245860074</v>
      </c>
      <c r="C26" s="186">
        <f>'page 7 Démo'!C26/'page 7 Démo'!C$17</f>
        <v>0.2222222222222222</v>
      </c>
      <c r="D26" s="186">
        <f>'page 7 Démo'!D26/'page 7 Démo'!D$17</f>
        <v>0.2042637787562587</v>
      </c>
      <c r="E26" s="186">
        <f>'page 7 Démo'!E26/'page 7 Démo'!E$17</f>
        <v>0.21130608917001734</v>
      </c>
      <c r="F26" s="186">
        <f>'page 7 Démo'!F26/'page 7 Démo'!F$17</f>
        <v>0.20030502122594354</v>
      </c>
      <c r="G26" s="229">
        <f>'page 7 Démo'!G26/'page 7 Démo'!G$17</f>
        <v>0.21705670223647083</v>
      </c>
      <c r="H26" s="186">
        <f>'page 7 Démo'!H26/'page 7 Démo'!H$17</f>
        <v>0.2248588378930745</v>
      </c>
      <c r="I26" s="281"/>
    </row>
    <row r="27" spans="1:8" ht="7.5" customHeight="1" thickBot="1">
      <c r="A27" s="824"/>
      <c r="B27" s="824"/>
      <c r="C27" s="824"/>
      <c r="D27" s="824"/>
      <c r="E27" s="824"/>
      <c r="F27" s="824"/>
      <c r="G27" s="824"/>
      <c r="H27" s="825"/>
    </row>
    <row r="28" spans="1:11" s="136" customFormat="1" ht="9.75" customHeight="1">
      <c r="A28" s="22" t="s">
        <v>872</v>
      </c>
      <c r="B28" s="137"/>
      <c r="C28" s="137"/>
      <c r="D28" s="137"/>
      <c r="E28" s="137"/>
      <c r="F28" s="137"/>
      <c r="G28" s="137"/>
      <c r="H28" s="138"/>
      <c r="I28" s="280"/>
      <c r="J28" s="280"/>
      <c r="K28" s="280"/>
    </row>
    <row r="29" spans="1:11" s="136" customFormat="1" ht="9.75" customHeight="1">
      <c r="A29" s="147"/>
      <c r="B29" s="137"/>
      <c r="C29" s="137"/>
      <c r="D29" s="137"/>
      <c r="E29" s="137"/>
      <c r="F29" s="137"/>
      <c r="G29" s="137"/>
      <c r="H29" s="138"/>
      <c r="I29" s="280"/>
      <c r="J29" s="280"/>
      <c r="K29" s="280"/>
    </row>
  </sheetData>
  <sheetProtection/>
  <mergeCells count="2">
    <mergeCell ref="A2:H2"/>
    <mergeCell ref="A1:H1"/>
  </mergeCells>
  <printOptions/>
  <pageMargins left="0.5905511811023623" right="0.5905511811023623" top="0.7874015748031497" bottom="0.787401574803149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panorama stat 2012 en cours de remplissage</dc:title>
  <dc:subject/>
  <dc:creator>lebouteux</dc:creator>
  <cp:keywords/>
  <dc:description/>
  <cp:lastModifiedBy>GALLARD, Elisabeth</cp:lastModifiedBy>
  <cp:lastPrinted>2014-04-15T11:18:47Z</cp:lastPrinted>
  <dcterms:created xsi:type="dcterms:W3CDTF">2010-09-28T09:43:56Z</dcterms:created>
  <dcterms:modified xsi:type="dcterms:W3CDTF">2021-05-06T12:22:54Z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